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4"/>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<sst xmlns="http://schemas.openxmlformats.org/spreadsheetml/2006/main" count="4929" uniqueCount="2990">
  <si>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</si>
  <si>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</si>
  <si>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</si>
  <si>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</si>
  <si>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</si>
  <si>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</si>
  <si>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</si>
  <si>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</si>
  <si>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</si>
  <si>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</si>
  <si>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</si>
  <si>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</si>
  <si>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</si>
  <si>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</si>
  <si>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</si>
  <si>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</si>
  <si>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</si>
  <si>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</si>
  <si>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</si>
  <si>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</si>
  <si>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</si>
  <si>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</si>
  <si>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</si>
  <si>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</si>
  <si>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</si>
  <si>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</si>
  <si>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</si>
  <si>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</si>
  <si>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</si>
  <si>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</si>
  <si>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</si>
  <si>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</si>
  <si>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</si>
  <si>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</si>
  <si>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</si>
  <si>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</si>
  <si>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</si>
  <si>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</si>
  <si>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</si>
  <si>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</si>
  <si>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</si>
  <si>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</si>
  <si>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</si>
  <si>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</si>
  <si>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</si>
  <si>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</si>
  <si>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</si>
  <si>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</si>
  <si>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</si>
  <si>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</si>
  <si>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</si>
  <si>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</si>
  <si>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</si>
  <si>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</si>
  <si>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</si>
  <si>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</si>
  <si>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</si>
  <si>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</si>
  <si>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</si>
  <si>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</si>
  <si>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</si>
  <si>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</si>
  <si>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</si>
  <si>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</si>
  <si>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</si>
  <si>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</si>
  <si>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</si>
  <si>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</si>
  <si>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</si>
  <si>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</si>
  <si>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</si>
  <si>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</si>
  <si>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</si>
  <si>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</si>
  <si>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</si>
  <si>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</si>
  <si>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</si>
  <si>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</si>
  <si>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</si>
  <si>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</si>
  <si>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</si>
  <si>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</si>
  <si>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</si>
  <si>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</si>
  <si>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</si>
  <si>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</si>
  <si>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</si>
  <si>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</si>
  <si>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</si>
  <si>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</si>
  <si>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</si>
  <si>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</si>
  <si>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</si>
  <si>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</si>
  <si>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</si>
  <si>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</si>
  <si>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</si>
  <si>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</si>
  <si>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</si>
  <si>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</si>
  <si>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</si>
  <si>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</si>
  <si>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</si>
  <si>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</si>
  <si>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</si>
  <si>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</si>
  <si>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</si>
  <si>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</si>
  <si>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</si>
  <si>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</si>
  <si>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</si>
  <si>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</si>
  <si>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</si>
  <si>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</si>
  <si>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</si>
  <si>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</si>
  <si>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</si>
  <si>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</si>
  <si>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</si>
  <si>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</si>
  <si>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</si>
  <si>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</si>
  <si>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</si>
  <si>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</si>
  <si>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</si>
  <si>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</si>
  <si>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</si>
  <si>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</si>
  <si>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</si>
  <si>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</si>
  <si>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</si>
  <si>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</si>
  <si>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</si>
  <si>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</si>
  <si>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</si>
  <si>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</si>
  <si>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</si>
  <si>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</si>
  <si>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</si>
  <si>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</si>
  <si>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</si>
  <si>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</si>
  <si>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</si>
  <si>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</si>
  <si>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</si>
  <si>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</si>
  <si>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</si>
  <si>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</si>
  <si>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</si>
  <si>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</si>
  <si>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</si>
  <si>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</si>
  <si>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</si>
  <si>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</si>
  <si>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</si>
  <si>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</si>
  <si>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</si>
  <si>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</si>
  <si>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</si>
  <si>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</si>
  <si>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</si>
  <si>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</si>
  <si>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</si>
  <si>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</si>
  <si>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</si>
  <si>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</si>
  <si>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</si>
  <si>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</si>
  <si>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</si>
  <si>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</si>
  <si>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</si>
  <si>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</si>
  <si>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</si>
  <si>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</si>
  <si>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</si>
  <si>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</si>
  <si>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</si>
  <si>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</si>
  <si>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</si>
  <si>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</si>
  <si>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</si>
  <si>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</si>
  <si>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</si>
  <si>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</si>
  <si>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</si>
  <si>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</si>
  <si>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</si>
  <si>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</si>
  <si>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</si>
  <si>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</si>
  <si>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</si>
  <si>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</si>
  <si>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</si>
  <si>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</si>
  <si>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</si>
  <si>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</si>
  <si>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</si>
  <si>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</si>
  <si>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</si>
  <si>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</si>
  <si>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</si>
  <si>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</si>
  <si>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</si>
  <si>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</si>
  <si>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</si>
  <si>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</si>
  <si>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</si>
  <si>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</si>
  <si>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</si>
  <si>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</si>
  <si>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</si>
  <si>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</si>
  <si>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</si>
  <si>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</si>
  <si>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</si>
  <si>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</si>
  <si>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</si>
  <si>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</si>
  <si>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</si>
  <si>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</si>
  <si>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</si>
  <si>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</si>
  <si>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</si>
  <si>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</si>
  <si>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</si>
  <si>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</si>
  <si>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</si>
  <si>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</si>
  <si>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</si>
  <si>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</si>
  <si>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</si>
  <si>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</si>
  <si>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</si>
  <si>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</si>
  <si>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</si>
  <si>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</si>
  <si>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</si>
  <si>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</si>
  <si>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</si>
  <si>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</si>
  <si>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</si>
  <si>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</si>
  <si>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</si>
  <si>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</si>
  <si>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</si>
  <si>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</si>
  <si>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</si>
  <si>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</si>
  <si>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</si>
  <si>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</si>
  <si>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</si>
  <si>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</si>
  <si>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</si>
  <si>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</si>
  <si>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</si>
  <si>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</si>
  <si>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</si>
  <si>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</si>
  <si>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</si>
  <si>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</si>
  <si>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</si>
  <si>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</si>
  <si>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</si>
  <si>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</si>
  <si>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</si>
  <si>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</si>
  <si>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</si>
  <si>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</si>
  <si>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</si>
  <si>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</si>
  <si>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</si>
  <si>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</si>
  <si>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</si>
  <si>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</si>
  <si>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</si>
  <si>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</si>
  <si>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</si>
  <si>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</si>
  <si>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</si>
  <si>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</si>
  <si>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</si>
  <si>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</si>
  <si>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</si>
  <si>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</si>
  <si>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</si>
  <si>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</si>
  <si>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</si>
  <si>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</si>
  <si>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</si>
  <si>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</si>
  <si>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</si>
  <si>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</si>
  <si>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</si>
  <si>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</si>
  <si>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</si>
  <si>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</si>
  <si>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</si>
  <si>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</si>
  <si>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</si>
  <si>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</si>
  <si>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</si>
  <si>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</si>
  <si>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</si>
  <si>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</si>
  <si>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</si>
  <si>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</si>
  <si>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</si>
  <si>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</si>
  <si>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</si>
  <si>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</si>
  <si>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</si>
  <si>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</si>
  <si>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</si>
  <si>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</si>
  <si>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</si>
  <si>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</si>
  <si>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</si>
  <si>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</si>
  <si>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</si>
  <si>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</si>
  <si>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</si>
  <si>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</si>
  <si>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</si>
  <si>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</si>
  <si>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</si>
  <si>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</si>
  <si>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</si>
  <si>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</si>
  <si>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</si>
  <si>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</si>
  <si>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</si>
  <si>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</si>
  <si>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</si>
  <si>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</si>
  <si>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</si>
  <si>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</si>
  <si>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</si>
  <si>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</si>
  <si>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</si>
  <si>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</si>
  <si>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</si>
  <si>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</si>
  <si>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</si>
  <si>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</si>
  <si>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</si>
  <si>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</si>
  <si>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</si>
  <si>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</si>
  <si>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</si>
  <si>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</si>
  <si>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</si>
  <si>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</si>
  <si>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</si>
  <si>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</si>
  <si>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</si>
  <si>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</si>
  <si>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</si>
  <si>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</si>
  <si>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</si>
  <si>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</si>
  <si>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</si>
  <si>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</si>
  <si>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</si>
  <si>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</si>
  <si>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</si>
  <si>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</si>
  <si>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</si>
  <si>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</si>
  <si>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</si>
  <si>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</si>
  <si>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</si>
  <si>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</si>
  <si>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</si>
  <si>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</si>
  <si>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</si>
  <si>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</si>
  <si>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</si>
  <si>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</si>
  <si>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</si>
  <si>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</si>
  <si>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</si>
  <si>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</si>
  <si>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</si>
  <si>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</si>
  <si>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</si>
  <si>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</si>
  <si>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</si>
  <si>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</si>
  <si>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</si>
  <si>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</si>
  <si>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</si>
  <si>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</si>
  <si>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</si>
  <si>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</si>
  <si>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</si>
  <si>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</si>
  <si>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</si>
  <si>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</si>
  <si>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</si>
  <si>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</si>
  <si>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</si>
  <si>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</si>
  <si>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</si>
  <si>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</si>
  <si>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</si>
  <si>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</si>
  <si>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</si>
  <si>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</si>
  <si>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</si>
  <si>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</si>
  <si>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</si>
  <si>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</si>
  <si>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</si>
  <si>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</si>
  <si>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</si>
  <si>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</si>
  <si>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</si>
  <si>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</si>
  <si>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</si>
  <si>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</si>
  <si>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</si>
  <si>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</si>
  <si>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</si>
  <si>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</si>
  <si>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</si>
  <si>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</si>
  <si>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</si>
  <si>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</si>
  <si>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</si>
  <si>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</si>
  <si>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</si>
  <si>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</si>
  <si>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</si>
  <si>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</si>
  <si>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</si>
  <si>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</si>
  <si>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</si>
  <si>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</si>
  <si>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</si>
  <si>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</si>
  <si>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</si>
  <si>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</si>
  <si>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</si>
  <si>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</si>
  <si>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</si>
  <si>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</si>
  <si>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</si>
  <si>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</si>
  <si>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</si>
  <si>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</si>
  <si>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</si>
  <si>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</si>
  <si>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</si>
  <si>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</si>
  <si>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</si>
  <si>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</si>
  <si>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</si>
  <si>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</si>
  <si>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</si>
  <si>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</si>
  <si>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</si>
  <si>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</si>
  <si>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</si>
  <si>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</si>
  <si>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</si>
  <si>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</si>
  <si>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</si>
  <si>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</si>
  <si>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</si>
  <si>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</si>
  <si>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</si>
  <si>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</si>
  <si>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</si>
  <si>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</si>
  <si>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</si>
  <si>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</si>
  <si>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</si>
  <si>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</si>
  <si>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</si>
  <si>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</si>
  <si>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</si>
  <si>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</si>
  <si>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</si>
  <si>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</si>
  <si>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</si>
  <si>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</si>
  <si>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</si>
  <si>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</si>
  <si>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</si>
  <si>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</si>
  <si>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</si>
  <si>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</si>
  <si>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</si>
  <si>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</si>
  <si>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</si>
  <si>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</si>
  <si>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</si>
  <si>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</si>
  <si>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</si>
  <si>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</si>
  <si>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</si>
  <si>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</si>
  <si>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</si>
  <si>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</si>
  <si>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</si>
  <si>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</si>
  <si>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</si>
  <si>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</si>
  <si>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</si>
  <si>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</si>
  <si>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</si>
  <si>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</si>
  <si>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</si>
  <si>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</si>
  <si>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</si>
  <si>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</si>
  <si>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</si>
  <si>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</si>
  <si>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</si>
  <si>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</si>
  <si>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</si>
  <si>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</si>
  <si>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</si>
  <si>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</si>
  <si>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</si>
  <si>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</si>
  <si>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</si>
  <si>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</si>
  <si>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</si>
  <si>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</si>
  <si>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</si>
  <si>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</si>
  <si>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</si>
  <si>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</si>
  <si>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</si>
  <si>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</si>
  <si>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</si>
  <si>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</si>
  <si>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</si>
  <si>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</si>
  <si>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</si>
  <si>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</si>
  <si>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</si>
  <si>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</si>
  <si>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</si>
  <si>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</si>
  <si>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</si>
  <si>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</si>
  <si>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</si>
  <si>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</si>
  <si>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</si>
  <si>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</si>
  <si>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</si>
  <si>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</si>
  <si>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</si>
  <si>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</si>
  <si>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</si>
  <si>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</si>
  <si>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</si>
  <si>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</si>
  <si>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</si>
  <si>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</si>
  <si>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</si>
  <si>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</si>
  <si>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</si>
  <si>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</si>
  <si>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</si>
  <si>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</si>
  <si>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</si>
  <si>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</si>
  <si>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</si>
  <si>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</si>
  <si>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</si>
  <si>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</si>
  <si>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</si>
  <si>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</si>
  <si>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</si>
  <si>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</si>
  <si>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</si>
  <si>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</si>
  <si>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</si>
  <si>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</si>
  <si>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</si>
  <si>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</si>
  <si>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</si>
  <si>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</si>
  <si>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</si>
  <si>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</si>
  <si>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</si>
  <si>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</si>
  <si>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</si>
  <si>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</si>
  <si>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</si>
  <si>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</si>
  <si>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</si>
  <si>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</si>
  <si>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</si>
  <si>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</si>
  <si>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</si>
  <si>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</si>
  <si>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</si>
  <si>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</si>
  <si>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</si>
  <si>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</si>
  <si>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</si>
  <si>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</si>
  <si>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</si>
  <si>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</si>
  <si>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</si>
  <si>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</si>
  <si>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</si>
  <si>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</si>
  <si>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</si>
  <si>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</si>
  <si>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</si>
  <si>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</si>
  <si>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</si>
  <si>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</si>
  <si>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</si>
  <si>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</si>
  <si>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</si>
  <si>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</si>
  <si>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</si>
  <si>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</si>
  <si>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</si>
  <si>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</si>
  <si>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</si>
  <si>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</si>
  <si>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</si>
  <si>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</si>
  <si>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</si>
  <si>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</si>
  <si>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</si>
  <si>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</si>
  <si>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</si>
  <si>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</si>
  <si>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</si>
  <si>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</si>
  <si>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</si>
  <si>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</si>
  <si>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</si>
  <si>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</si>
  <si>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</si>
  <si>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</si>
  <si>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</si>
  <si>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</si>
  <si>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</si>
  <si>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</si>
  <si>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</si>
  <si>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</si>
  <si>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</si>
  <si>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</si>
  <si>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</si>
  <si>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</si>
  <si>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</si>
  <si>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</si>
  <si>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</si>
  <si>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</si>
  <si>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</si>
  <si>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</si>
  <si>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</si>
  <si>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</si>
  <si>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</si>
  <si>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</si>
  <si>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</si>
  <si>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</si>
  <si>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</si>
  <si>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</si>
  <si>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</si>
  <si>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</si>
  <si>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</si>
  <si>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</si>
  <si>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</si>
  <si>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</si>
  <si>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</si>
  <si>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</si>
  <si>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</si>
  <si>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</si>
  <si>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</si>
  <si>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</si>
  <si>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</si>
  <si>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</si>
  <si>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</si>
  <si>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</si>
  <si>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</si>
  <si>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</si>
  <si>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</si>
  <si>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</si>
  <si>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</si>
  <si>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</si>
  <si>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</si>
  <si>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</si>
  <si>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</si>
  <si>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</si>
  <si>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</si>
  <si>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</si>
  <si>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</si>
  <si>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</si>
  <si>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</si>
  <si>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</si>
  <si>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</si>
  <si>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</si>
  <si>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</si>
  <si>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</si>
  <si>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</si>
  <si>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</si>
  <si>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</si>
  <si>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</si>
  <si>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</si>
  <si>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</si>
  <si>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</si>
  <si>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</si>
  <si>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</si>
  <si>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</si>
  <si>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</si>
  <si>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</si>
  <si>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</si>
  <si>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</si>
  <si>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</si>
  <si>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</si>
  <si>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</si>
  <si>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</si>
  <si>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</si>
  <si>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</si>
  <si>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</si>
  <si>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</si>
  <si>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</si>
  <si>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</si>
  <si>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</si>
  <si>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</si>
  <si>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</si>
  <si>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</si>
  <si>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</si>
  <si>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</si>
  <si>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</si>
  <si>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</si>
  <si>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</si>
  <si>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</si>
  <si>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</si>
  <si>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</si>
  <si>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</si>
  <si>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</si>
  <si>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</si>
  <si>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</si>
  <si>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</si>
  <si>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</si>
  <si>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</si>
  <si>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</si>
  <si>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</si>
  <si>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</si>
  <si>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</si>
  <si>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</si>
  <si>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</si>
  <si>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</si>
  <si>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</si>
  <si>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</si>
  <si>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</si>
  <si>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</si>
  <si>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</si>
  <si>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</si>
  <si>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</si>
  <si>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</si>
  <si>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</si>
  <si>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</si>
  <si>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</si>
  <si>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</si>
  <si>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</si>
  <si>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</si>
  <si>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</si>
  <si>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</si>
  <si>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</si>
  <si>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</si>
  <si>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</si>
  <si>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</si>
  <si>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</si>
  <si>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</si>
  <si>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</si>
  <si>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</si>
  <si>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</si>
  <si>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</si>
  <si>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</si>
  <si>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</si>
  <si>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</si>
  <si>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</si>
  <si>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</si>
  <si>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</si>
  <si>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</si>
  <si>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</si>
  <si>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</si>
  <si>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</si>
  <si>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</si>
  <si>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</si>
  <si>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</si>
  <si>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</si>
  <si>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</si>
  <si>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</si>
  <si>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</si>
  <si>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</si>
  <si>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</si>
  <si>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</si>
  <si>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</si>
  <si>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</si>
  <si>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</si>
  <si>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</si>
  <si>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</si>
  <si>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</si>
  <si>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</si>
  <si>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</si>
  <si>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</si>
  <si>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</si>
  <si>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</si>
  <si>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</si>
  <si>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</si>
  <si>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</si>
  <si>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</si>
  <si>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</si>
  <si>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</si>
  <si>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</si>
  <si>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</si>
  <si>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</si>
  <si>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</si>
  <si>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</si>
  <si>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</si>
  <si>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</si>
  <si>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</si>
  <si>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</si>
  <si>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</si>
  <si>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</si>
  <si>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</si>
  <si>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</si>
  <si>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</si>
  <si>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</si>
  <si>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</si>
  <si>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</si>
  <si>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</si>
  <si>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</si>
  <si>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</si>
  <si>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</si>
  <si>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</si>
  <si>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</si>
  <si>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</si>
  <si>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</si>
  <si>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</si>
  <si>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</si>
  <si>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</si>
  <si>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</si>
  <si>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</si>
  <si>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</si>
  <si>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</si>
  <si>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</si>
  <si>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</si>
  <si>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</si>
  <si>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</si>
  <si>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</si>
  <si>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</si>
  <si>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</si>
  <si>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</si>
  <si>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</si>
  <si>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</si>
  <si>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</si>
  <si>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</si>
  <si>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</si>
  <si>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</si>
  <si>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</si>
  <si>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</si>
  <si>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</si>
  <si>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</si>
  <si>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</si>
  <si>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</si>
  <si>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</si>
  <si>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</si>
  <si>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</si>
  <si>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</si>
  <si>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</si>
  <si>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</si>
  <si>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</si>
  <si>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</si>
  <si>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</si>
  <si>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</si>
  <si>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</si>
  <si>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</si>
  <si>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</si>
  <si>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</si>
  <si>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</si>
  <si>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</si>
  <si>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</si>
  <si>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</si>
  <si>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</si>
  <si>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</si>
  <si>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</si>
  <si>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</si>
  <si>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</si>
  <si>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</si>
  <si>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</si>
  <si>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</si>
  <si>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</si>
  <si>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</si>
  <si>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</si>
  <si>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</si>
  <si>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</si>
  <si>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</si>
  <si>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</si>
  <si>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</si>
  <si>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</si>
  <si>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</si>
  <si>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</si>
  <si>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</si>
  <si>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</si>
  <si>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</si>
  <si>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</si>
  <si>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</si>
  <si>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</si>
  <si>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</si>
  <si>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</si>
  <si>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</si>
  <si>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</si>
  <si>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</si>
  <si>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</si>
  <si>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</si>
  <si>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</si>
  <si>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</si>
  <si>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</si>
  <si>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</si>
  <si>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</si>
  <si>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</si>
  <si>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</si>
  <si>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</si>
  <si>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</si>
  <si>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</si>
  <si>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</si>
  <si>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</si>
  <si>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</si>
  <si>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</si>
  <si>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</si>
  <si>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</si>
  <si>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</si>
  <si>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</si>
  <si>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</si>
  <si>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</si>
  <si>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</si>
  <si>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</si>
  <si>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</si>
  <si>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</si>
  <si>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</si>
  <si>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</si>
  <si>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</si>
  <si>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</si>
  <si>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</si>
  <si>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</si>
  <si>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</si>
  <si>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</si>
  <si>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</si>
  <si>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</si>
  <si>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</si>
  <si>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</si>
  <si>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</si>
  <si>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</si>
  <si>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</si>
  <si>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</si>
  <si>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</si>
  <si>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</si>
  <si>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</si>
  <si>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</si>
  <si>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</si>
  <si>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</si>
  <si>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</si>
  <si>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</si>
  <si>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</si>
  <si>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</si>
  <si>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</si>
  <si>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</si>
  <si>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</si>
  <si>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</si>
  <si>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</si>
  <si>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</si>
  <si>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</si>
  <si>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</si>
  <si>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</si>
  <si>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</si>
  <si>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</si>
  <si>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</si>
  <si>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</si>
  <si>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</si>
  <si>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</si>
  <si>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</si>
  <si>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</si>
  <si>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</si>
  <si>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</si>
  <si>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</si>
  <si>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</si>
  <si>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</si>
  <si>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</si>
  <si>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</si>
  <si>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</si>
  <si>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</si>
  <si>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</si>
  <si>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</si>
  <si>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</si>
  <si>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</si>
  <si>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</si>
  <si>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</si>
  <si>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</si>
  <si>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</si>
  <si>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</si>
  <si>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</si>
  <si>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</si>
  <si>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</si>
  <si>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</si>
  <si>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</si>
  <si>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</si>
  <si>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</si>
  <si>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</si>
  <si>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</si>
  <si>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</si>
  <si>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</si>
  <si>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</si>
  <si>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</si>
  <si>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</si>
  <si>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</si>
  <si>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</si>
  <si>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</si>
  <si>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</si>
  <si>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</si>
  <si>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</si>
  <si>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</si>
  <si>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</si>
  <si>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</si>
  <si>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</si>
  <si>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</si>
  <si>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</si>
  <si>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</si>
  <si>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</si>
  <si>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</si>
  <si>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</si>
  <si>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</si>
  <si>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</si>
  <si>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</si>
  <si>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</si>
  <si>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</si>
  <si>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</si>
  <si>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</si>
  <si>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</si>
  <si>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</si>
  <si>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</si>
  <si>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</si>
  <si>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</si>
  <si>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</si>
  <si>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</si>
  <si>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</si>
  <si>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</si>
  <si>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</si>
  <si>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</si>
  <si>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</si>
  <si>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</si>
  <si>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</si>
  <si>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</si>
  <si>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</si>
  <si>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</si>
  <si>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</si>
  <si>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</si>
  <si>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</si>
  <si>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</si>
  <si>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</si>
  <si>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</si>
  <si>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</si>
  <si>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</si>
  <si>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</si>
  <si>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</si>
  <si>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</si>
  <si>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</si>
  <si>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</si>
  <si>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</si>
  <si>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</si>
  <si>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</si>
  <si>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</si>
  <si>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</si>
  <si>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</si>
  <si>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</si>
  <si>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</si>
  <si>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</si>
  <si>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</si>
  <si>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</si>
  <si>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</si>
  <si>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</si>
  <si>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</si>
  <si>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</si>
  <si>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</si>
  <si>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</si>
  <si>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</si>
  <si>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</si>
  <si>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</si>
  <si>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</si>
  <si>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</si>
  <si>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</si>
  <si>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</si>
  <si>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</si>
  <si>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</si>
  <si>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</si>
  <si>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</si>
  <si>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</si>
  <si>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</si>
  <si>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</si>
  <si>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</si>
  <si>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</si>
  <si>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</si>
  <si>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</si>
  <si>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</si>
  <si>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</si>
  <si>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</si>
  <si>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</si>
  <si>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</si>
  <si>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</si>
  <si>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</si>
  <si>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</si>
  <si>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</si>
  <si>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</si>
  <si>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</si>
  <si>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</si>
  <si>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</si>
  <si>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</si>
  <si>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</si>
  <si>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</si>
  <si>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</si>
  <si>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</si>
  <si>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</si>
  <si>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</si>
  <si>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</si>
  <si>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</si>
  <si>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</si>
  <si>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</si>
  <si>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</si>
  <si>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</si>
  <si>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</si>
  <si>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</si>
  <si>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</si>
  <si>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</si>
  <si>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</si>
  <si>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</si>
  <si>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</si>
  <si>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</si>
  <si>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</si>
  <si>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</si>
  <si>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</si>
  <si>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</si>
  <si>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</si>
  <si>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</si>
  <si>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</si>
  <si>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</si>
  <si>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</si>
  <si>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</si>
  <si>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</si>
  <si>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</si>
  <si>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</si>
  <si>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</si>
  <si>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</si>
  <si>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</si>
  <si>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</si>
  <si>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</si>
  <si>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</si>
  <si>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</si>
  <si>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</si>
  <si>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</si>
  <si>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</si>
  <si>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</si>
  <si>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</si>
  <si>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</si>
  <si>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</si>
  <si>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</si>
  <si>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</si>
  <si>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</si>
  <si>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</si>
  <si>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</si>
  <si>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</si>
  <si>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</si>
  <si>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</si>
  <si>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</si>
  <si>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</si>
  <si>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</si>
  <si>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</si>
  <si>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</si>
  <si>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</si>
  <si>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</si>
  <si>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</si>
  <si>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</si>
  <si>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</si>
  <si>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</si>
  <si>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</si>
  <si>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</si>
  <si>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</si>
  <si>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</si>
  <si>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</si>
  <si>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</si>
  <si>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</si>
  <si>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</si>
  <si>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</si>
  <si>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</si>
  <si>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</si>
  <si>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</si>
  <si>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</si>
  <si>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</si>
  <si>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</si>
  <si>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</si>
  <si>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</si>
  <si>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</si>
  <si>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</si>
  <si>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</si>
  <si>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</si>
  <si>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</si>
  <si>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</si>
  <si>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</si>
  <si>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</si>
  <si>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</si>
  <si>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</si>
  <si>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</si>
  <si>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</si>
  <si>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</si>
  <si>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</si>
  <si>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</si>
  <si>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</si>
  <si>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</si>
  <si>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</si>
  <si>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</si>
  <si>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</si>
  <si>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</si>
  <si>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</si>
  <si>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</si>
  <si>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</si>
  <si>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</si>
  <si>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</si>
  <si>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</si>
  <si>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</si>
  <si>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</si>
  <si>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</si>
  <si>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</si>
  <si>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</si>
  <si>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</si>
  <si>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</si>
  <si>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</si>
  <si>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</si>
  <si>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</si>
  <si>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</si>
  <si>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</si>
  <si>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</si>
  <si>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</si>
  <si>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</si>
  <si>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</si>
  <si>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</si>
  <si>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</si>
  <si>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</si>
  <si>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</si>
  <si>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</si>
  <si>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</si>
  <si>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</si>
  <si>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</si>
  <si>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</si>
  <si>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</si>
  <si>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</si>
  <si>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</si>
  <si>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</si>
  <si>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</si>
  <si>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</si>
  <si>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</si>
  <si>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</si>
  <si>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</si>
  <si>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</si>
  <si>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</si>
  <si>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</si>
  <si>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</si>
  <si>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</si>
  <si>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</si>
  <si>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</si>
  <si>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</si>
  <si>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</si>
  <si>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</si>
  <si>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</si>
  <si>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</si>
  <si>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</si>
  <si>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</si>
  <si>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</si>
  <si>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</si>
  <si>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</si>
  <si>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</si>
  <si>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</si>
  <si>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</si>
  <si>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</si>
  <si>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</si>
  <si>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</si>
  <si>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</si>
  <si>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</si>
  <si>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</si>
  <si>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</si>
  <si>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</si>
  <si>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</si>
  <si>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</si>
  <si>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</si>
  <si>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</si>
  <si>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</si>
  <si>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</si>
  <si>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</si>
  <si>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</si>
  <si>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</si>
  <si>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</si>
  <si>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</si>
  <si>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</si>
  <si>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</si>
  <si>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</si>
  <si>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</si>
  <si>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</si>
  <si>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</si>
  <si>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</si>
  <si>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</si>
  <si>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</si>
  <si>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</si>
  <si>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</si>
  <si>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</si>
  <si>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</si>
  <si>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</si>
  <si>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</si>
  <si>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</si>
  <si>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</si>
  <si>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</si>
  <si>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</si>
  <si>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</si>
  <si>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</si>
  <si>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</si>
  <si>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</si>
  <si>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</si>
  <si>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</si>
  <si>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</si>
  <si>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</si>
  <si>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</si>
  <si>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</si>
  <si>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</si>
  <si>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</si>
  <si>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</si>
  <si>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</si>
  <si>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</si>
  <si>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</si>
  <si>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</si>
  <si>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</si>
  <si>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</si>
  <si>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</si>
  <si>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</si>
  <si>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</si>
  <si>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</si>
  <si>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</si>
  <si>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</si>
  <si>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</si>
  <si>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</si>
  <si>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</si>
  <si>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</si>
  <si>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</si>
  <si>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</si>
  <si>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</si>
  <si>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</si>
  <si>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</si>
  <si>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</si>
  <si>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</si>
  <si>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</si>
  <si>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</si>
  <si>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</si>
  <si>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</si>
  <si>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</si>
  <si>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</si>
  <si>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</si>
  <si>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</si>
  <si>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</si>
  <si>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</si>
  <si>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</si>
  <si>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</si>
  <si>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</si>
  <si>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</si>
  <si>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</si>
  <si>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</si>
  <si>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</si>
  <si>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</si>
  <si>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</si>
  <si>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</si>
  <si>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</si>
  <si>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</si>
  <si>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</si>
  <si>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</si>
  <si>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</si>
  <si>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</si>
  <si>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</si>
  <si>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</si>
  <si>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</si>
  <si>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</si>
  <si>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</si>
  <si>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</si>
  <si>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</si>
  <si>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</si>
  <si>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</si>
  <si>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</si>
  <si>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</si>
  <si>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</si>
  <si>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</si>
  <si>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</si>
  <si>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</si>
  <si>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</si>
  <si>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</si>
  <si>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</si>
  <si>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</si>
  <si>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</si>
  <si>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</si>
  <si>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</si>
  <si>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</si>
  <si>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</si>
  <si>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</si>
  <si>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</si>
  <si>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</si>
  <si>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</si>
  <si>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</si>
  <si>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</si>
  <si>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</si>
  <si>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</si>
  <si>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</si>
  <si>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</si>
  <si>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</si>
  <si>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</si>
  <si>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</si>
  <si>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</si>
  <si>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</si>
  <si>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</si>
  <si>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</si>
  <si>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</si>
  <si>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</si>
  <si>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</si>
  <si>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</si>
  <si>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</si>
  <si>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</si>
  <si>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</si>
  <si>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</si>
  <si>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</si>
  <si>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</si>
  <si>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</si>
  <si>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</si>
  <si>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</si>
  <si>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</si>
  <si>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</si>
  <si>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</si>
  <si>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</si>
  <si>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</si>
  <si>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</si>
  <si>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</si>
  <si>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</si>
  <si>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</si>
  <si>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</si>
  <si>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</si>
  <si>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</si>
  <si>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</si>
  <si>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</si>
  <si>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</si>
  <si>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</si>
  <si>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</si>
  <si>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</si>
  <si>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</si>
  <si>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</si>
  <si>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</si>
  <si>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</si>
  <si>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</si>
  <si>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</si>
  <si>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</si>
  <si>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</si>
  <si>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</si>
  <si>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</si>
  <si>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</si>
  <si>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</si>
  <si>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</si>
  <si>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</si>
  <si>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</si>
  <si>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</si>
  <si>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</si>
  <si>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</si>
  <si>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</si>
  <si>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</si>
  <si>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</si>
  <si>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</si>
  <si>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</si>
  <si>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</si>
  <si>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</si>
  <si>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</si>
  <si>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</si>
  <si>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</si>
  <si>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</si>
  <si>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</si>
  <si>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</si>
  <si>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</si>
  <si>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</si>
  <si>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</si>
  <si>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</si>
  <si>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</si>
  <si>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</si>
  <si>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</si>
  <si>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</si>
  <si>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</si>
  <si>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</si>
  <si>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</si>
  <si>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</si>
  <si>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</si>
  <si>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</si>
  <si>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</si>
  <si>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</si>
  <si>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</si>
  <si>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</si>
  <si>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</si>
  <si>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</si>
  <si>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</si>
  <si>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</si>
  <si>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</si>
  <si>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</si>
  <si>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</si>
  <si>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</si>
  <si>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</si>
  <si>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</si>
  <si>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</si>
  <si>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</si>
  <si>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</si>
  <si>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</si>
  <si>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</si>
  <si>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</si>
  <si>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</si>
  <si>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</si>
  <si>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</si>
  <si>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</si>
  <si>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</si>
  <si>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</si>
  <si>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</si>
  <si>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</si>
  <si>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</si>
  <si>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</si>
  <si>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</si>
  <si>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</si>
  <si>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</si>
  <si>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</si>
  <si>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</si>
  <si>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</si>
  <si>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</si>
  <si>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</si>
  <si>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</si>
  <si>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</si>
  <si>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</si>
  <si>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</si>
  <si>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</si>
  <si>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</si>
  <si>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</si>
  <si>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</si>
  <si>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</si>
  <si>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</si>
  <si>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</si>
  <si>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</si>
  <si>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</si>
  <si>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</si>
  <si>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</si>
  <si>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</si>
  <si>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</si>
  <si>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</si>
  <si>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</si>
  <si>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</si>
  <si>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</si>
  <si>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</si>
  <si>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</si>
  <si>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</si>
  <si>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</si>
  <si>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</si>
  <si>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</si>
  <si>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</si>
  <si>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</si>
  <si>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</si>
  <si>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</si>
  <si>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</si>
  <si>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</si>
  <si>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</si>
  <si>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</si>
  <si>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</si>
  <si>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</si>
  <si>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</si>
  <si>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</si>
  <si>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</si>
  <si>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</si>
  <si>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</si>
  <si>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</si>
  <si>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</si>
  <si>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</si>
  <si>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</si>
  <si>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</si>
  <si>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</si>
  <si>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</si>
  <si>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</si>
  <si>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</si>
  <si>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</si>
  <si>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</si>
  <si>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</si>
  <si>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</si>
  <si>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</si>
  <si>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</si>
  <si>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</si>
  <si>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</si>
  <si>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</si>
  <si>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</si>
  <si>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</si>
  <si>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</si>
  <si>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</si>
  <si>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</si>
  <si>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</si>
  <si>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</si>
  <si>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</si>
  <si>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</si>
  <si>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</si>
  <si>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</si>
  <si>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</si>
  <si>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</si>
  <si>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</si>
  <si>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</si>
  <si>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</si>
  <si>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</si>
  <si>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</si>
  <si>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</si>
  <si>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</si>
  <si>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</si>
  <si>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</si>
  <si>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</si>
  <si>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</si>
  <si>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</si>
  <si>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</si>
  <si>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</si>
  <si>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</si>
  <si>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</si>
  <si>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</si>
  <si>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</si>
  <si>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</si>
  <si>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</si>
  <si>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</si>
  <si>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</si>
  <si>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</si>
  <si>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</si>
  <si>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</si>
  <si>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</si>
  <si>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</si>
  <si>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</si>
  <si>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</si>
  <si>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</si>
  <si>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</si>
  <si>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</si>
  <si>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</si>
  <si>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</si>
  <si>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</si>
  <si>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</si>
  <si>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</si>
  <si>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</si>
  <si>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</si>
  <si>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</si>
  <si>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</si>
  <si>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</si>
  <si>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</si>
  <si>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</si>
  <si>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</si>
  <si>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</si>
  <si>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</si>
  <si>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</si>
  <si>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</si>
  <si>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</si>
  <si>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</si>
  <si>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</si>
  <si>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</si>
  <si>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</si>
  <si>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</si>
  <si>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</si>
  <si>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</si>
  <si>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</si>
  <si>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</si>
  <si>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</si>
  <si>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</si>
  <si>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</si>
  <si>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</si>
  <si>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</si>
  <si>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</si>
  <si>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</si>
  <si>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</si>
  <si>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</si>
  <si>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</si>
  <si>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</si>
  <si>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</si>
  <si>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</si>
  <si>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</si>
  <si>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</si>
  <si>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</si>
  <si>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</si>
  <si>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</si>
  <si>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</si>
  <si>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</si>
  <si>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</si>
  <si>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</si>
  <si>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</si>
  <si>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</si>
  <si>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</si>
  <si>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</si>
  <si>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</si>
  <si>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</si>
  <si>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</si>
  <si>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</si>
  <si>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</si>
  <si>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</si>
  <si>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</si>
  <si>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</si>
  <si>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</si>
  <si>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</si>
  <si>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</si>
  <si>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</si>
  <si>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</si>
  <si>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</si>
  <si>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</si>
  <si>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</si>
  <si>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</si>
  <si>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</si>
  <si>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</si>
  <si>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</si>
  <si>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</si>
  <si>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</si>
  <si>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</si>
  <si>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</si>
  <si>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</si>
  <si>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</si>
  <si>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</si>
  <si>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</si>
  <si>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</si>
  <si>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</si>
  <si>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</si>
  <si>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</si>
  <si>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</si>
  <si>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</si>
  <si>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</si>
  <si>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</si>
  <si>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</si>
  <si>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</si>
  <si>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</si>
  <si>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</si>
  <si>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</si>
  <si>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</si>
  <si>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</si>
  <si>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</si>
  <si>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</si>
  <si>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</si>
  <si>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</si>
  <si>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</si>
  <si>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</si>
  <si>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</si>
  <si>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</si>
  <si>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</si>
  <si>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</si>
  <si>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</si>
  <si>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</si>
  <si>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</si>
  <si>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</si>
  <si>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</si>
  <si>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</si>
  <si>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</si>
  <si>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</si>
  <si>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</si>
  <si>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</si>
  <si>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</si>
  <si>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</si>
  <si>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</si>
  <si>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</si>
  <si>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</si>
  <si>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</si>
  <si>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</si>
  <si>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</si>
  <si>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</si>
  <si>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</si>
  <si>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</si>
  <si>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</si>
  <si>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</si>
  <si>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</si>
  <si>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</si>
  <si>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</si>
  <si>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</si>
  <si>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</si>
  <si>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</si>
  <si>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</si>
  <si>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</si>
  <si>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</si>
  <si>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</si>
  <si>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</si>
  <si>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</si>
  <si>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</si>
  <si>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</si>
  <si>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</si>
  <si>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</si>
  <si>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</si>
  <si>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</si>
  <si>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</si>
  <si>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</si>
  <si>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</si>
  <si>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</si>
  <si>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</si>
  <si>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</si>
  <si>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</si>
  <si>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</si>
  <si>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</si>
  <si>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</si>
  <si>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</si>
  <si>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</si>
  <si>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</si>
  <si>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</si>
  <si>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</si>
  <si>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</si>
  <si>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</si>
  <si>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</si>
  <si>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</si>
  <si>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</si>
  <si>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</si>
  <si>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</si>
  <si>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</si>
  <si>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</si>
  <si>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</si>
  <si>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</si>
  <si>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</si>
  <si>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</si>
  <si>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</si>
  <si>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</si>
  <si>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</si>
  <si>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</si>
  <si>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</si>
  <si>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</si>
  <si>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</si>
  <si>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</si>
  <si>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</si>
  <si>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</si>
  <si>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</si>
  <si>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</si>
  <si>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</si>
  <si>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</si>
  <si>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</si>
  <si>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</si>
  <si>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</si>
  <si>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</si>
  <si>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</si>
  <si>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</si>
  <si>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</si>
  <si>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</si>
  <si>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</si>
  <si>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</si>
  <si>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</si>
  <si>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</si>
  <si>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</si>
  <si>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</si>
  <si>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</si>
  <si>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</si>
  <si>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</si>
  <si>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</si>
  <si>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</si>
  <si>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</si>
  <si>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</si>
  <si>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</si>
  <si>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</si>
  <si>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</si>
  <si>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</si>
  <si>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</si>
  <si>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</si>
  <si>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</si>
  <si>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</si>
  <si>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</si>
  <si>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</si>
  <si>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</si>
  <si>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</si>
  <si>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</si>
  <si>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</si>
  <si>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</si>
  <si>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</si>
  <si>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</si>
  <si>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</si>
  <si>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</si>
  <si>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</si>
  <si>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</si>
  <si>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</si>
  <si>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</si>
  <si>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</si>
  <si>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</si>
  <si>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</si>
  <si>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</si>
  <si>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</si>
  <si>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</si>
  <si>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</si>
  <si>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</si>
  <si>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</si>
  <si>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</si>
  <si>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</si>
  <si>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</si>
  <si>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</si>
  <si>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</si>
  <si>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</si>
  <si>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</si>
  <si>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</si>
  <si>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</si>
  <si>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</si>
  <si>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</si>
  <si>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</si>
  <si>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</si>
  <si>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</si>
  <si>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</si>
  <si>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</si>
  <si>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</si>
  <si>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</si>
  <si>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</si>
  <si>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</si>
  <si>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</si>
  <si>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</si>
  <si>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</si>
  <si>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</si>
  <si>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</si>
  <si>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</si>
  <si>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</si>
  <si>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</si>
  <si>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</si>
  <si>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</si>
  <si>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</si>
  <si>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</si>
  <si>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</si>
  <si>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</si>
  <si>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</si>
  <si>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</si>
  <si>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</si>
  <si>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</si>
  <si>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</si>
  <si>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</si>
  <si>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</si>
  <si>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</si>
  <si>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</si>
  <si>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</si>
  <si>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</si>
  <si>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</si>
  <si>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</si>
  <si>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</si>
  <si>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</si>
  <si>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</si>
  <si>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</si>
  <si>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</si>
  <si>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</si>
  <si>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</si>
  <si>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</si>
  <si>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</si>
  <si>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</si>
  <si>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</si>
  <si>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</si>
  <si>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</si>
  <si>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</si>
  <si>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</si>
  <si>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</si>
  <si>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</si>
  <si>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</si>
  <si>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</si>
  <si>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</si>
  <si>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</si>
  <si>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</si>
  <si>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</si>
  <si>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</si>
  <si>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</si>
  <si>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</si>
  <si>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</si>
  <si>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</si>
  <si>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</si>
  <si>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</si>
  <si>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</si>
  <si>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</si>
  <si>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</si>
  <si>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</si>
  <si>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</si>
  <si>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</si>
  <si>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</si>
  <si>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</si>
  <si>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</si>
  <si>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</si>
  <si>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</si>
  <si>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</si>
  <si>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</si>
  <si>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</si>
  <si>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</si>
  <si>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</si>
  <si>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</si>
  <si>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</si>
  <si>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</si>
  <si>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</si>
  <si>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</si>
  <si>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</si>
  <si>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</si>
  <si>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</si>
  <si>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</si>
  <si>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</si>
  <si>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</si>
  <si>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</si>
  <si>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</si>
  <si>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</si>
  <si>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</si>
  <si>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</si>
  <si>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</si>
  <si>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</si>
  <si>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</si>
  <si>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</si>
  <si>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</si>
  <si>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</si>
  <si>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</si>
  <si>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</si>
  <si>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</si>
  <si>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</si>
  <si>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</si>
  <si>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</si>
  <si>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</si>
  <si>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</si>
  <si>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</si>
  <si>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</si>
  <si>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</si>
  <si>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</si>
  <si>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</si>
  <si>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</si>
  <si>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</si>
  <si>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</si>
  <si>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</si>
  <si>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</si>
  <si>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</si>
  <si>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</si>
  <si>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</si>
  <si>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</si>
  <si>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</si>
  <si>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</si>
  <si>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</si>
  <si>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</si>
  <si>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</si>
  <si>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</si>
  <si>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</si>
  <si>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</si>
  <si>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</si>
  <si>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</si>
  <si>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</si>
  <si>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</si>
  <si>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</si>
  <si>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</si>
  <si>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</si>
  <si>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</si>
  <si>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</si>
  <si>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</si>
  <si>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</si>
  <si>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</si>
  <si>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</si>
  <si>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</si>
  <si>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</si>
  <si>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</si>
  <si>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</si>
  <si>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</si>
  <si>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</si>
  <si>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</si>
  <si>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</si>
  <si>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</si>
  <si>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</si>
  <si>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</si>
  <si>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</si>
  <si>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</si>
  <si>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</si>
  <si>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</si>
  <si>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</si>
  <si>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</si>
  <si>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</si>
  <si>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</si>
  <si>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</si>
  <si>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</si>
  <si>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</si>
  <si>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</si>
  <si>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</si>
  <si>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</si>
  <si>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</si>
  <si>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</si>
  <si>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</si>
  <si>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</si>
  <si>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</si>
  <si>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</si>
  <si>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</si>
  <si>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</si>
  <si>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</si>
  <si>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</si>
  <si>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</si>
  <si>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</si>
  <si>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</si>
  <si>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</si>
  <si>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</si>
  <si>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</si>
  <si>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</si>
  <si>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</si>
  <si>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</si>
  <si>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</si>
  <si>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</si>
  <si>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</si>
  <si>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</si>
  <si>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</si>
  <si>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</si>
  <si>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</si>
  <si>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</si>
  <si>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</si>
  <si>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</si>
  <si>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</si>
  <si>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</si>
  <si>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</si>
  <si>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</si>
  <si>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</si>
  <si>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</si>
  <si>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</si>
  <si>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</si>
  <si>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</si>
  <si>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</si>
  <si>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</si>
  <si>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</si>
  <si>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</si>
  <si>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</si>
  <si>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</si>
  <si>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</si>
  <si>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</si>
  <si>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</si>
  <si>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</si>
  <si>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</si>
  <si>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</si>
  <si>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</si>
  <si>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</si>
  <si>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</si>
  <si>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</si>
  <si>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</si>
  <si>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</si>
  <si>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</si>
  <si>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</si>
  <si>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</si>
  <si>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</si>
  <si>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</si>
  <si>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</si>
  <si>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</si>
  <si>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</si>
  <si>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</si>
  <si>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</si>
  <si>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</si>
  <si>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</si>
  <si>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</si>
  <si>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</si>
  <si>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</si>
  <si>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</si>
  <si>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</si>
  <si>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</si>
  <si>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</si>
  <si>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</si>
  <si>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</si>
  <si>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</si>
  <si>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</si>
  <si>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</si>
  <si>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</si>
  <si>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</si>
  <si>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</si>
  <si>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</si>
  <si>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</si>
  <si>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</si>
  <si>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</si>
  <si>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</si>
  <si>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</si>
  <si>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</si>
  <si>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</si>
  <si>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</si>
  <si>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</si>
  <si>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</si>
  <si>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</si>
  <si>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</si>
  <si>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</si>
  <si>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</si>
  <si>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</si>
  <si>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</si>
  <si>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</si>
  <si>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</si>
  <si>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</si>
  <si>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</si>
  <si>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</si>
  <si>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</si>
  <si>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</si>
  <si>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</si>
  <si>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</si>
  <si>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</si>
  <si>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</si>
  <si>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</si>
  <si>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</si>
  <si>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</si>
  <si>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</si>
  <si>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</si>
  <si>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</si>
  <si>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</si>
  <si>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</si>
  <si>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</si>
  <si>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</si>
  <si>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</si>
  <si>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</si>
  <si>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</si>
  <si>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</si>
  <si>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</si>
  <si>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</si>
  <si>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</si>
  <si>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</si>
  <si>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</si>
  <si>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</si>
  <si>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</si>
  <si>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</si>
  <si>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</si>
  <si>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</si>
  <si>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</si>
  <si>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</si>
  <si>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</si>
  <si>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</si>
  <si>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</si>
  <si>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</si>
  <si>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</si>
  <si>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</si>
  <si>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</si>
  <si>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</si>
  <si>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</si>
  <si>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</si>
  <si>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</si>
  <si>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</si>
  <si>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</si>
  <si>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</si>
  <si>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</si>
  <si>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</si>
  <si>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</si>
  <si>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</si>
  <si>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</si>
  <si>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</si>
  <si>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</si>
  <si>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</si>
  <si>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</si>
  <si>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</si>
  <si>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</si>
  <si>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</si>
  <si>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</si>
  <si>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</si>
  <si>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</si>
  <si>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</si>
  <si>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</si>
  <si>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</si>
  <si>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</si>
  <si>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</si>
  <si>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</si>
  <si>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</si>
  <si>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</si>
  <si>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</si>
  <si>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</si>
  <si>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</si>
  <si>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</si>
  <si>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</si>
  <si>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</si>
  <si>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</si>
  <si>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</si>
  <si>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</si>
  <si>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</si>
  <si>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</si>
  <si>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</si>
  <si>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</si>
  <si>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</si>
  <si>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</si>
  <si>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</si>
  <si>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</si>
  <si>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</si>
  <si>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</si>
  <si>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</si>
  <si>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</si>
  <si>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</si>
  <si>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</si>
  <si>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</si>
  <si>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</si>
  <si>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</si>
  <si>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</si>
  <si>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</si>
  <si>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</si>
  <si>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</si>
  <si>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</si>
  <si>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</si>
  <si>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</si>
  <si>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</si>
  <si>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</si>
  <si>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</si>
  <si>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</si>
  <si>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</si>
  <si>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</si>
  <si>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</si>
  <si>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</si>
  <si>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</si>
  <si>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</si>
  <si>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</si>
  <si>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</si>
  <si>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</si>
  <si>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</si>
  <si>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</si>
  <si>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</si>
  <si>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</si>
  <si>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</si>
  <si>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</si>
  <si>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</si>
  <si>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</si>
  <si>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</si>
  <si>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</si>
  <si>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</si>
  <si>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</si>
  <si>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</si>
  <si>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</si>
  <si>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</si>
  <si>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</si>
  <si>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</si>
  <si>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</si>
  <si>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</si>
  <si>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</si>
  <si>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</si>
  <si>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</si>
  <si>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</si>
  <si>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</si>
  <si>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</si>
  <si>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</si>
  <si>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</si>
  <si>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</si>
  <si>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</si>
  <si>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</si>
  <si>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</si>
  <si>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</si>
  <si>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</si>
  <si>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</si>
  <si>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</si>
  <si>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</si>
  <si>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</si>
  <si>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</si>
  <si>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</si>
  <si>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</si>
  <si>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</si>
  <si>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</si>
  <si>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</si>
  <si>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</si>
  <si>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</si>
  <si>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</si>
  <si>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</si>
  <si>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</si>
  <si>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</si>
  <si>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</si>
  <si>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</si>
  <si>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</si>
  <si>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</si>
  <si>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</si>
  <si>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</si>
  <si>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</si>
  <si>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</si>
  <si>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</si>
  <si>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</si>
  <si>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</si>
  <si>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</si>
  <si>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</si>
  <si>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</si>
  <si>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</si>
  <si>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</si>
  <si>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</si>
  <si>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</si>
  <si>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</si>
  <si>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</si>
  <si>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</si>
  <si>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</si>
  <si>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</si>
  <si>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</si>
  <si>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</si>
  <si>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</si>
  <si>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</si>
  <si>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</si>
  <si>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</si>
  <si>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</si>
  <si>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</si>
  <si>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</si>
  <si>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</si>
  <si>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</si>
  <si>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</si>
  <si>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</si>
  <si>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</si>
  <si>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</si>
  <si>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</si>
  <si>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</si>
  <si>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</si>
  <si>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</si>
  <si>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</si>
  <si>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</si>
  <si>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</si>
  <si>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</si>
  <si>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</si>
  <si>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</si>
  <si>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</si>
  <si>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</si>
  <si>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</si>
  <si>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</si>
  <si>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</si>
  <si>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</si>
  <si>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</si>
  <si>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</si>
  <si>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</si>
  <si>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</si>
  <si>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</si>
  <si>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</si>
  <si>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</si>
  <si>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</si>
  <si>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</si>
  <si>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</si>
  <si>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</si>
  <si>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</si>
  <si>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</si>
  <si>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</si>
  <si>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</si>
  <si>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</si>
  <si>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</si>
  <si>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</si>
  <si>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</si>
  <si>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</si>
  <si>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</si>
  <si>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</si>
  <si>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</si>
  <si>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</si>
  <si>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</si>
  <si>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</si>
  <si>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</si>
  <si>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</si>
  <si>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</si>
  <si>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</si>
  <si>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</si>
  <si>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</si>
  <si>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</si>
  <si>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</si>
  <si>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</si>
  <si>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</si>
  <si>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</si>
  <si>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</si>
  <si>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</si>
  <si>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</si>
  <si>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</si>
  <si>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</si>
  <si>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</si>
  <si>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</si>
  <si>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</si>
  <si>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</si>
  <si>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</si>
  <si>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</si>
  <si>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</si>
  <si>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</si>
  <si>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</si>
  <si>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</si>
  <si>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</si>
  <si>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</si>
  <si>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</si>
  <si>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</si>
  <si>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</si>
  <si>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</si>
  <si>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</si>
  <si>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</si>
  <si>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</si>
  <si>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</si>
  <si>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</si>
  <si>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</si>
  <si>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</si>
  <si>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</si>
  <si>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</si>
  <si>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</si>
  <si>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</si>
  <si>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</si>
  <si>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</si>
  <si>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</si>
  <si>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</si>
  <si>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</si>
  <si>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</si>
  <si>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</si>
  <si>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</si>
  <si>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</si>
  <si>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</si>
  <si>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</si>
  <si>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</si>
  <si>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</si>
  <si>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</si>
  <si>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</si>
  <si>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</si>
  <si>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</si>
  <si>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</si>
  <si>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</si>
  <si>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</si>
  <si>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</si>
  <si>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</si>
  <si>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</si>
  <si>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</si>
  <si>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</si>
  <si>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</si>
  <si>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</si>
  <si>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</si>
  <si>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</si>
  <si>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</si>
  <si>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</si>
  <si>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</si>
  <si>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</si>
  <si>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</si>
  <si>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</si>
  <si>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</si>
  <si>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</si>
  <si>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</si>
  <si>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</si>
  <si>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</si>
  <si>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</si>
  <si>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</si>
  <si>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</si>
  <si>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</si>
  <si>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</si>
  <si>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</si>
  <si>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</si>
  <si>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</si>
  <si>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</si>
  <si>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</si>
  <si>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</si>
  <si>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</si>
  <si>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</si>
  <si>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</si>
  <si>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</si>
  <si>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</si>
  <si>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</si>
  <si>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</si>
  <si>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</si>
  <si>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</si>
  <si>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</si>
  <si>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</si>
  <si>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</si>
  <si>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</si>
  <si>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</si>
  <si>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</si>
  <si>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</si>
  <si>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</si>
  <si>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</si>
  <si>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</si>
  <si>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</si>
  <si>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</si>
  <si>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</si>
  <si>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</si>
  <si>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</si>
  <si>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</si>
  <si>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</si>
  <si>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</si>
  <si>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</si>
  <si>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</si>
  <si>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</si>
  <si>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</si>
  <si>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</si>
  <si>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</si>
  <si>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</si>
  <si>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</si>
  <si>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</si>
  <si>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</si>
  <si>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</si>
  <si>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</si>
  <si>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</si>
  <si>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</si>
  <si>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</si>
  <si>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</si>
  <si>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</si>
  <si>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</si>
  <si>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</si>
  <si>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</si>
  <si>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</si>
  <si>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</si>
  <si>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</si>
  <si>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</si>
  <si>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</si>
  <si>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</si>
  <si>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</si>
  <si>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</si>
  <si>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</si>
  <si>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</si>
  <si>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</si>
  <si>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</si>
  <si>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</si>
  <si>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</si>
  <si>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</si>
  <si>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</si>
  <si>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</si>
  <si>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</si>
  <si>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</si>
  <si>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</si>
  <si>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</si>
  <si>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</si>
  <si>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</si>
  <si>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</si>
  <si>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</si>
  <si>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</si>
  <si>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</si>
  <si>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</si>
  <si>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</si>
  <si>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</si>
  <si>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</si>
  <si>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</si>
  <si>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</si>
  <si>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</si>
  <si>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</si>
  <si>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</si>
  <si>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</si>
  <si>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</si>
  <si>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</si>
  <si>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</si>
  <si>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</si>
  <si>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</si>
  <si>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</si>
  <si>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</si>
  <si>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</si>
  <si>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</si>
  <si>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</si>
  <si>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</si>
  <si>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</si>
  <si>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</si>
  <si>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</si>
  <si>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</si>
  <si>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</si>
  <si>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</si>
  <si>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</si>
  <si>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</si>
  <si>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</si>
  <si>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</si>
  <si>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</si>
  <si>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</si>
  <si>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</si>
  <si>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</si>
  <si>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</si>
  <si>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</si>
  <si>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</si>
  <si>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</si>
  <si>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</si>
  <si>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</si>
  <si>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</si>
  <si>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</si>
  <si>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</si>
  <si>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</si>
  <si>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</si>
  <si>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</si>
  <si>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</si>
  <si>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</si>
  <si>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</si>
  <si>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</si>
  <si>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</si>
  <si>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</si>
  <si>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</si>
  <si>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</si>
  <si>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</si>
  <si>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</si>
  <si>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</si>
  <si>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</si>
  <si>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</si>
  <si>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</si>
  <si>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</si>
  <si>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</si>
  <si>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</si>
  <si>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</si>
  <si>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</si>
  <si>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</si>
  <si>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</si>
  <si>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</si>
  <si>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</si>
  <si>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</si>
  <si>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</si>
  <si>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</si>
  <si>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</si>
  <si>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</si>
  <si>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</si>
  <si>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</si>
  <si>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</si>
  <si>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</si>
  <si>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</si>
  <si>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</si>
  <si>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</si>
  <si>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</si>
  <si>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</si>
  <si>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</si>
  <si>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</si>
  <si>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</si>
  <si>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</si>
  <si>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</si>
  <si>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</si>
  <si>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</si>
  <si>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</si>
  <si>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</si>
  <si>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</si>
  <si>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</si>
  <si>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</si>
  <si>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</si>
  <si>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</si>
  <si>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</si>
  <si>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</si>
  <si>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</si>
  <si>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</si>
  <si>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</si>
  <si>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</si>
  <si>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</si>
  <si>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</si>
  <si>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</si>
  <si>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</si>
  <si>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</si>
  <si>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</si>
  <si>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</si>
  <si>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</si>
  <si>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</si>
  <si>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</si>
  <si>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</si>
  <si>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</si>
  <si>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</si>
  <si>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</si>
  <si>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</si>
  <si>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</si>
  <si>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</si>
  <si>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</si>
  <si>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</si>
  <si>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</si>
  <si>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</si>
  <si>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</si>
  <si>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</si>
  <si>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</si>
  <si>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</si>
  <si>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</si>
  <si>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</si>
  <si>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</si>
  <si>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</si>
  <si>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</si>
  <si>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</si>
  <si>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</si>
  <si>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</si>
  <si>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</si>
  <si>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</si>
  <si>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</si>
  <si>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</si>
  <si>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</si>
  <si>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</si>
  <si>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</si>
  <si>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</si>
  <si>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</si>
  <si>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</si>
  <si>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</si>
  <si>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</si>
  <si>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</si>
  <si>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</si>
  <si>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</si>
  <si>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</si>
  <si>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</si>
  <si>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</si>
  <si>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</si>
  <si>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</si>
  <si>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</si>
  <si>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</si>
  <si>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</si>
  <si>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</si>
  <si>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</si>
  <si>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</si>
  <si>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</si>
  <si>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</si>
  <si>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</si>
  <si>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</si>
  <si>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</si>
  <si>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</si>
  <si>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</si>
  <si>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</si>
  <si>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</si>
  <si>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</si>
  <si>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</si>
  <si>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</si>
  <si>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</si>
  <si>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</si>
  <si>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</si>
  <si>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</si>
  <si>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</si>
  <si>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</si>
  <si>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</si>
  <si>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</si>
  <si>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</si>
  <si>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</si>
  <si>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</si>
  <si>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</si>
  <si>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</si>
  <si>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</si>
  <si>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</si>
  <si>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</si>
  <si>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</si>
  <si>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</si>
  <si>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</si>
  <si>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</si>
  <si>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</si>
  <si>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</si>
  <si>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</si>
  <si>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</si>
  <si>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</si>
  <si>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</si>
  <si>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</si>
  <si>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</si>
  <si>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</si>
  <si>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</si>
  <si>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</si>
  <si>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</si>
  <si>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</si>
  <si>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</si>
  <si>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</si>
  <si>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</si>
  <si>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</si>
  <si>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</si>
  <si>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</si>
  <si>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</si>
  <si>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</si>
  <si>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</si>
  <si>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</si>
  <si>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</si>
  <si>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</si>
  <si>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</si>
  <si>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</si>
  <si>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</si>
  <si>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</si>
  <si>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</si>
  <si>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</si>
  <si>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</si>
  <si>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</si>
  <si>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</si>
  <si>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</si>
  <si>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</si>
  <si>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</si>
  <si>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</si>
  <si>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</si>
  <si>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</si>
  <si>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</si>
  <si>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</si>
  <si>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</si>
  <si>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</si>
  <si>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</si>
  <si>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</si>
  <si>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</si>
  <si>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</si>
  <si>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</si>
  <si>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</si>
  <si>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</si>
  <si>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</si>
  <si>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</si>
  <si>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</si>
  <si>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</si>
  <si>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</si>
  <si>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</si>
  <si>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</si>
  <si>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</si>
  <si>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</si>
  <si>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</si>
  <si>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</si>
  <si>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</si>
  <si>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</si>
  <si>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</si>
  <si>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</si>
  <si>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</si>
  <si>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</si>
  <si>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</si>
  <si>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</si>
  <si>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</si>
  <si>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</si>
  <si>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</si>
  <si>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</si>
  <si>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</si>
  <si>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</si>
  <si>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</si>
  <si>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</si>
  <si>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</si>
  <si>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</si>
  <si>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</si>
  <si>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</si>
  <si>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</si>
  <si>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</si>
  <si>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</si>
  <si>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</si>
  <si>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</si>
  <si>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</si>
  <si>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</si>
  <si>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</si>
  <si>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</si>
  <si>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</si>
  <si>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</si>
  <si>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</si>
  <si>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</si>
  <si>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</si>
  <si>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</si>
  <si>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</si>
  <si>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</si>
  <si>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</si>
  <si>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</si>
  <si>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</si>
  <si>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</si>
  <si>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</si>
  <si>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</si>
  <si>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</si>
  <si>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</si>
  <si>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</si>
  <si>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</si>
  <si>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</si>
  <si>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</si>
  <si>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</si>
  <si>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</si>
  <si>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</si>
  <si>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</si>
  <si>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</si>
  <si>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</si>
  <si>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</si>
  <si>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</si>
  <si>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</si>
  <si>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</si>
  <si>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</si>
  <si>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</si>
  <si>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</si>
  <si>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</si>
  <si>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</si>
  <si>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</si>
  <si>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</si>
  <si>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</si>
  <si>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</si>
  <si>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</si>
  <si>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</si>
  <si>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</si>
  <si>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</si>
  <si>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</si>
  <si>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</si>
  <si>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</si>
  <si>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</si>
  <si>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</si>
  <si>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</si>
  <si>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</si>
  <si>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</si>
  <si>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</si>
  <si>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</si>
  <si>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</si>
  <si>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</si>
  <si>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</si>
  <si>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</si>
  <si>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</si>
  <si>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</si>
  <si>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</si>
  <si>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</si>
  <si>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</si>
  <si>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</si>
  <si>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</si>
  <si>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</si>
  <si>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</si>
  <si>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</si>
  <si>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</si>
  <si>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</si>
  <si>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</si>
  <si>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</si>
  <si>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</si>
  <si>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</si>
  <si>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</si>
  <si>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</si>
  <si>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</si>
  <si>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</si>
  <si>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</si>
  <si>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</si>
  <si>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</si>
  <si>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</si>
  <si>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</si>
  <si>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</si>
  <si>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</si>
  <si>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</si>
  <si>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</si>
  <si>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</si>
  <si>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</si>
  <si>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</si>
  <si>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</si>
  <si>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</si>
  <si>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</si>
  <si>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</si>
  <si>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</si>
  <si>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</si>
  <si>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</si>
  <si>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</si>
  <si>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</si>
  <si>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</si>
  <si>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</si>
  <si>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</si>
  <si>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04151712</t>
  </si>
  <si>
    <t>070118159</t>
  </si>
  <si>
    <t>91920869215</t>
  </si>
  <si>
    <t>IVKOM-VODE D.O.O.</t>
  </si>
  <si>
    <t>IVANEC</t>
  </si>
  <si>
    <t>V.NAZORA 96B</t>
  </si>
  <si>
    <t>ivkom-vode@ivkom-vode.hr</t>
  </si>
  <si>
    <t>www.ivkom-vode.hr</t>
  </si>
  <si>
    <t>DA</t>
  </si>
  <si>
    <t>41748200389</t>
  </si>
  <si>
    <t>03136906</t>
  </si>
  <si>
    <t>IVKOM DD IVANEC</t>
  </si>
  <si>
    <t>KUŠEN BRANKICA</t>
  </si>
  <si>
    <t>042770573</t>
  </si>
  <si>
    <t>042781307</t>
  </si>
  <si>
    <t>brankica@ivkom.hr</t>
  </si>
  <si>
    <t>STANKO MLADEN</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</si>
</sst>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4628513.359999999</v>
      </c>
      <c r="I3" s="27">
        <f>ABS(ROUND(J3,0)-J3)+ABS(ROUND(K3,0)-K3)</f>
        <v>0</v>
      </c>
      <c r="J3" s="75">
        <f>Bilanca!K11</f>
        <v>75932224</v>
      </c>
      <c r="K3" s="76">
        <f>Bilanca!L11</f>
        <v>77746722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2541.54</v>
      </c>
      <c r="I4" s="77">
        <f>ABS(ROUND(J4,0)-J4)+ABS(ROUND(K4,0)-K4)</f>
        <v>0</v>
      </c>
      <c r="J4" s="75">
        <f>Bilanca!K12</f>
        <v>22072</v>
      </c>
      <c r="K4" s="76">
        <f>Bilanca!L12</f>
        <v>31323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04151712</v>
      </c>
      <c r="C6" s="27"/>
      <c r="D6" s="27" t="s">
        <v>2272</v>
      </c>
      <c r="E6" s="27">
        <v>1</v>
      </c>
      <c r="F6" s="27">
        <f>Bilanca!I14</f>
        <v>5</v>
      </c>
      <c r="G6" s="27">
        <f>IF(Bilanca!J14=0,"",Bilanca!J14)</f>
      </c>
      <c r="H6" s="224">
        <f t="shared" si="1"/>
        <v>3252.55</v>
      </c>
      <c r="I6" s="77">
        <f t="shared" si="2"/>
        <v>0</v>
      </c>
      <c r="J6" s="75">
        <f>Bilanca!K14</f>
        <v>14351</v>
      </c>
      <c r="K6" s="76">
        <f>Bilanca!L14</f>
        <v>25350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070118159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91920869215</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IVKOM-VODE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1770.0299999999997</v>
      </c>
      <c r="I10" s="77">
        <f t="shared" si="2"/>
        <v>0</v>
      </c>
      <c r="J10" s="75">
        <f>Bilanca!K18</f>
        <v>7721</v>
      </c>
      <c r="K10" s="76">
        <f>Bilanca!L18</f>
        <v>5973</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23134095</v>
      </c>
      <c r="I11" s="27">
        <f t="shared" si="2"/>
        <v>0</v>
      </c>
      <c r="J11" s="75">
        <f>Bilanca!K19</f>
        <v>75910152</v>
      </c>
      <c r="K11" s="76">
        <f>Bilanca!L19</f>
        <v>77715399</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V.NAZORA 96B</v>
      </c>
      <c r="C12" s="27"/>
      <c r="D12" s="27" t="s">
        <v>2272</v>
      </c>
      <c r="E12" s="27">
        <v>1</v>
      </c>
      <c r="F12" s="27">
        <f>Bilanca!I20</f>
        <v>11</v>
      </c>
      <c r="G12" s="27">
        <f>IF(Bilanca!J20=0,"",Bilanca!J20)</f>
      </c>
      <c r="H12" s="224">
        <f t="shared" si="1"/>
        <v>21122.309999999998</v>
      </c>
      <c r="I12" s="77">
        <f t="shared" si="2"/>
        <v>0</v>
      </c>
      <c r="J12" s="75">
        <f>Bilanca!K20</f>
        <v>59627</v>
      </c>
      <c r="K12" s="76">
        <f>Bilanca!L20</f>
        <v>66197</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ivkom-vode@ivkom-vode.hr</v>
      </c>
      <c r="C13" s="27"/>
      <c r="D13" s="27" t="s">
        <v>2272</v>
      </c>
      <c r="E13" s="27">
        <v>1</v>
      </c>
      <c r="F13" s="27">
        <f>Bilanca!I21</f>
        <v>12</v>
      </c>
      <c r="G13" s="27">
        <f>IF(Bilanca!J21=0,"",Bilanca!J21)</f>
      </c>
      <c r="H13" s="224">
        <f t="shared" si="1"/>
        <v>25286393.759999998</v>
      </c>
      <c r="I13" s="27">
        <f t="shared" si="2"/>
        <v>0</v>
      </c>
      <c r="J13" s="75">
        <f>Bilanca!K21</f>
        <v>67661858</v>
      </c>
      <c r="K13" s="76">
        <f>Bilanca!L21</f>
        <v>71529045</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www.ivkom-vode.hr</v>
      </c>
      <c r="C14" s="27"/>
      <c r="D14" s="27" t="s">
        <v>2272</v>
      </c>
      <c r="E14" s="27">
        <v>1</v>
      </c>
      <c r="F14" s="27">
        <f>Bilanca!I22</f>
        <v>13</v>
      </c>
      <c r="G14" s="27">
        <f>IF(Bilanca!J22=0,"",Bilanca!J22)</f>
      </c>
      <c r="H14" s="224">
        <f t="shared" si="1"/>
        <v>6243.64</v>
      </c>
      <c r="I14" s="77">
        <f t="shared" si="2"/>
        <v>0</v>
      </c>
      <c r="J14" s="75">
        <f>Bilanca!K22</f>
        <v>4724</v>
      </c>
      <c r="K14" s="76">
        <f>Bilanca!L22</f>
        <v>21652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99973.71999999999</v>
      </c>
      <c r="I15" s="27">
        <f t="shared" si="2"/>
        <v>0</v>
      </c>
      <c r="J15" s="75">
        <f>Bilanca!K23</f>
        <v>132736</v>
      </c>
      <c r="K15" s="76">
        <f>Bilanca!L23</f>
        <v>290681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3343365.35</v>
      </c>
      <c r="I18" s="77">
        <f t="shared" si="2"/>
        <v>0</v>
      </c>
      <c r="J18" s="75">
        <f>Bilanca!K26</f>
        <v>8051207</v>
      </c>
      <c r="K18" s="76">
        <f>Bilanca!L26</f>
        <v>5807824</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17</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18</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14</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14</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5205159.28</v>
      </c>
      <c r="I35" s="27">
        <f t="shared" si="2"/>
        <v>0</v>
      </c>
      <c r="J35" s="75">
        <f>Bilanca!K43</f>
        <v>5058560</v>
      </c>
      <c r="K35" s="76">
        <f>Bilanca!L43</f>
        <v>5125366</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403512.2</v>
      </c>
      <c r="I36" s="77">
        <f t="shared" si="2"/>
        <v>0</v>
      </c>
      <c r="J36" s="75">
        <f>Bilanca!K44</f>
        <v>566840</v>
      </c>
      <c r="K36" s="76">
        <f>Bilanca!L44</f>
        <v>293026</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t="str">
        <f>Opci!C63</f>
        <v>03136906</v>
      </c>
      <c r="C37" s="27"/>
      <c r="D37" s="27" t="s">
        <v>2272</v>
      </c>
      <c r="E37" s="27">
        <v>1</v>
      </c>
      <c r="F37" s="27">
        <f>Bilanca!I45</f>
        <v>36</v>
      </c>
      <c r="G37" s="27">
        <f>IF(Bilanca!J45=0,"",Bilanca!J45)</f>
      </c>
      <c r="H37" s="224">
        <f t="shared" si="1"/>
        <v>415041.12</v>
      </c>
      <c r="I37" s="27">
        <f t="shared" si="2"/>
        <v>0</v>
      </c>
      <c r="J37" s="75">
        <f>Bilanca!K45</f>
        <v>566840</v>
      </c>
      <c r="K37" s="76">
        <f>Bilanca!L45</f>
        <v>293026</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t="str">
        <f>TRIM(Opci!F63)</f>
        <v>IVKOM DD IVANEC</v>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KUŠEN BRANKICA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042770573</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brankica@ivkom.hr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STANKO MLADEN</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5240872.68</v>
      </c>
      <c r="I44" s="77">
        <f t="shared" si="2"/>
        <v>0</v>
      </c>
      <c r="J44" s="75">
        <f>Bilanca!K52</f>
        <v>3220206</v>
      </c>
      <c r="K44" s="76">
        <f>Bilanca!L52</f>
        <v>4483935</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2682428.85</v>
      </c>
      <c r="I46" s="77">
        <f t="shared" si="4"/>
        <v>0</v>
      </c>
      <c r="J46" s="75">
        <f>Bilanca!K54</f>
        <v>1870181</v>
      </c>
      <c r="K46" s="76">
        <f>Bilanca!L54</f>
        <v>2045386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240683.03999999998</v>
      </c>
      <c r="I49" s="27">
        <f t="shared" si="4"/>
        <v>0</v>
      </c>
      <c r="J49" s="75">
        <f>Bilanca!K57</f>
        <v>112801</v>
      </c>
      <c r="K49" s="76">
        <f>Bilanca!L57</f>
        <v>194311</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2805593</v>
      </c>
      <c r="I50" s="77">
        <f t="shared" si="4"/>
        <v>0</v>
      </c>
      <c r="J50" s="75">
        <f>Bilanca!K58</f>
        <v>1237224</v>
      </c>
      <c r="K50" s="76">
        <f>Bilanca!L58</f>
        <v>2244238</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2388491914.51</v>
      </c>
      <c r="C59" s="27"/>
      <c r="D59" s="27" t="s">
        <v>2272</v>
      </c>
      <c r="E59" s="27">
        <v>1</v>
      </c>
      <c r="F59" s="27">
        <f>Bilanca!I67</f>
        <v>58</v>
      </c>
      <c r="G59" s="27">
        <f>IF(Bilanca!J67=0,"",Bilanca!J67)</f>
      </c>
      <c r="H59" s="224">
        <f t="shared" si="3"/>
        <v>1141627.92</v>
      </c>
      <c r="I59" s="27">
        <f t="shared" si="4"/>
        <v>0</v>
      </c>
      <c r="J59" s="75">
        <f>Bilanca!K67</f>
        <v>1271514</v>
      </c>
      <c r="K59" s="76">
        <f>Bilanca!L67</f>
        <v>348405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14245.55</v>
      </c>
      <c r="I60" s="77">
        <f t="shared" si="4"/>
        <v>0</v>
      </c>
      <c r="J60" s="75">
        <f>Bilanca!K68</f>
        <v>8145</v>
      </c>
      <c r="K60" s="76">
        <f>Bilanca!L68</f>
        <v>8000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148055463</v>
      </c>
      <c r="I61" s="27">
        <f>ABS(ROUND(J61,0)-J61)+ABS(ROUND(K61,0)-K61)</f>
        <v>0</v>
      </c>
      <c r="J61" s="75">
        <f>Bilanca!K69</f>
        <v>80998929</v>
      </c>
      <c r="K61" s="76">
        <f>Bilanca!L69</f>
        <v>82880088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35927658</v>
      </c>
      <c r="I62" s="77">
        <f>ABS(ROUND(J62,0)-J62)+ABS(ROUND(K62,0)-K62)</f>
        <v>0</v>
      </c>
      <c r="J62" s="75">
        <f>Bilanca!K70</f>
        <v>19632600</v>
      </c>
      <c r="K62" s="76">
        <f>Bilanca!L70</f>
        <v>19632600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41748200389</v>
      </c>
      <c r="C63" s="27"/>
      <c r="D63" s="27" t="s">
        <v>2272</v>
      </c>
      <c r="E63" s="27">
        <v>1</v>
      </c>
      <c r="F63" s="27">
        <f>Bilanca!I72</f>
        <v>62</v>
      </c>
      <c r="G63" s="27">
        <f>IF(Bilanca!J72=0,"",Bilanca!J72)</f>
      </c>
      <c r="H63" s="224">
        <f>J63/100*F63+2*K63/100*F63</f>
        <v>49203679.88</v>
      </c>
      <c r="I63" s="27">
        <f>ABS(ROUND(J63,0)-J63)+ABS(ROUND(K63,0)-K63)</f>
        <v>0</v>
      </c>
      <c r="J63" s="75">
        <f>Bilanca!K72</f>
        <v>26425234</v>
      </c>
      <c r="K63" s="76">
        <f>Bilanca!L72</f>
        <v>26467770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37105614</v>
      </c>
      <c r="I64" s="27">
        <f>ABS(ROUND(J64,0)-J64)+ABS(ROUND(K64,0)-K64)</f>
        <v>0</v>
      </c>
      <c r="J64" s="75">
        <f>Bilanca!K73</f>
        <v>19632600</v>
      </c>
      <c r="K64" s="76">
        <f>Bilanca!L73</f>
        <v>19632600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13469461.2</v>
      </c>
      <c r="I66" s="27">
        <f t="shared" si="6"/>
        <v>0</v>
      </c>
      <c r="J66" s="75">
        <f>Bilanca!K75</f>
        <v>7136980</v>
      </c>
      <c r="K66" s="76">
        <f>Bilanca!L75</f>
        <v>6792634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14505573.6</v>
      </c>
      <c r="I71" s="27">
        <f t="shared" si="6"/>
        <v>0</v>
      </c>
      <c r="J71" s="75">
        <f>Bilanca!K80</f>
        <v>7136980</v>
      </c>
      <c r="K71" s="76">
        <f>Bilanca!L80</f>
        <v>6792634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-194455.5</v>
      </c>
      <c r="I76" s="27">
        <f t="shared" si="6"/>
        <v>0</v>
      </c>
      <c r="J76" s="75">
        <f>Bilanca!K85</f>
        <v>-344346</v>
      </c>
      <c r="K76" s="76">
        <f>Bilanca!L85</f>
        <v>42536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64654.72</v>
      </c>
      <c r="I77" s="27">
        <f t="shared" si="6"/>
        <v>0</v>
      </c>
      <c r="J77" s="75">
        <f>Bilanca!K86</f>
        <v>0</v>
      </c>
      <c r="K77" s="76">
        <f>Bilanca!L86</f>
        <v>42536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265146.42</v>
      </c>
      <c r="I78" s="27">
        <f t="shared" si="6"/>
        <v>0</v>
      </c>
      <c r="J78" s="75">
        <f>Bilanca!K87</f>
        <v>344346</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5111694.779999999</v>
      </c>
      <c r="I94" s="27">
        <f t="shared" si="6"/>
        <v>0</v>
      </c>
      <c r="J94" s="75">
        <f>Bilanca!K103</f>
        <v>2439920</v>
      </c>
      <c r="K94" s="76">
        <f>Bilanca!L103</f>
        <v>1528263</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1713904.82</v>
      </c>
      <c r="I95" s="27">
        <f t="shared" si="6"/>
        <v>0</v>
      </c>
      <c r="J95" s="75">
        <f>Bilanca!K104</f>
        <v>972667</v>
      </c>
      <c r="K95" s="76">
        <f>Bilanca!L104</f>
        <v>425318</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16878</v>
      </c>
      <c r="I98" s="27">
        <f t="shared" si="6"/>
        <v>0</v>
      </c>
      <c r="J98" s="75">
        <f>Bilanca!K107</f>
        <v>5800</v>
      </c>
      <c r="K98" s="76">
        <f>Bilanca!L107</f>
        <v>5800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968260.5800000001</v>
      </c>
      <c r="I99" s="27">
        <f aca="true" t="shared" si="9" ref="I99:I107">ABS(ROUND(J99,0)-J99)+ABS(ROUND(K99,0)-K99)</f>
        <v>0</v>
      </c>
      <c r="J99" s="75">
        <f>Bilanca!K108</f>
        <v>558979</v>
      </c>
      <c r="K99" s="76">
        <f>Bilanca!L108</f>
        <v>214521</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345427.07</v>
      </c>
      <c r="I102" s="27">
        <f t="shared" si="9"/>
        <v>0</v>
      </c>
      <c r="J102" s="75">
        <f>Bilanca!K111</f>
        <v>104729</v>
      </c>
      <c r="K102" s="76">
        <f>Bilanca!L111</f>
        <v>118639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160464.36</v>
      </c>
      <c r="I103" s="27">
        <f t="shared" si="9"/>
        <v>0</v>
      </c>
      <c r="J103" s="75">
        <f>Bilanca!K112</f>
        <v>46356</v>
      </c>
      <c r="K103" s="76">
        <f>Bilanca!L112</f>
        <v>55481</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2276816.85</v>
      </c>
      <c r="I106" s="27">
        <f t="shared" si="9"/>
        <v>0</v>
      </c>
      <c r="J106" s="75">
        <f>Bilanca!K115</f>
        <v>751389</v>
      </c>
      <c r="K106" s="76">
        <f>Bilanca!L115</f>
        <v>708504</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171615998.10000002</v>
      </c>
      <c r="I107" s="27">
        <f t="shared" si="9"/>
        <v>0</v>
      </c>
      <c r="J107" s="75">
        <f>Bilanca!K116</f>
        <v>52133775</v>
      </c>
      <c r="K107" s="76">
        <f>Bilanca!L116</f>
        <v>54884055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264032242.35</v>
      </c>
      <c r="I108" s="27">
        <f aca="true" t="shared" si="11" ref="I108:I113">ABS(ROUND(J108,0)-J108)+ABS(ROUND(K108,0)-K108)</f>
        <v>0</v>
      </c>
      <c r="J108" s="75">
        <f>Bilanca!K117</f>
        <v>80998929</v>
      </c>
      <c r="K108" s="76">
        <f>Bilanca!L117</f>
        <v>82880088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63609624</v>
      </c>
      <c r="I109" s="27">
        <f t="shared" si="11"/>
        <v>0</v>
      </c>
      <c r="J109" s="75">
        <f>Bilanca!K118</f>
        <v>19632600</v>
      </c>
      <c r="K109" s="76">
        <f>Bilanca!L118</f>
        <v>19632600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21925229.49</v>
      </c>
      <c r="I112" s="27">
        <f t="shared" si="11"/>
        <v>0</v>
      </c>
      <c r="J112" s="75">
        <f>RDG!K9</f>
        <v>5933529</v>
      </c>
      <c r="K112" s="76">
        <f>RDG!L9</f>
        <v>6909465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18014659.04</v>
      </c>
      <c r="I113" s="27">
        <f t="shared" si="11"/>
        <v>0</v>
      </c>
      <c r="J113" s="75">
        <f>RDG!K10</f>
        <v>4722331</v>
      </c>
      <c r="K113" s="76">
        <f>RDG!L10</f>
        <v>5681093</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4144774.46</v>
      </c>
      <c r="I114" s="27">
        <f aca="true" t="shared" si="13" ref="I114:I158">ABS(ROUND(J114,0)-J114)+ABS(ROUND(K114,0)-K114)</f>
        <v>0</v>
      </c>
      <c r="J114" s="75">
        <f>RDG!K11</f>
        <v>1211198</v>
      </c>
      <c r="K114" s="76">
        <f>RDG!L11</f>
        <v>1228372</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22972171.92</v>
      </c>
      <c r="I115" s="27">
        <f t="shared" si="13"/>
        <v>0</v>
      </c>
      <c r="J115" s="75">
        <f>RDG!K12</f>
        <v>6335666</v>
      </c>
      <c r="K115" s="76">
        <f>RDG!L12</f>
        <v>6907681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8454241.24</v>
      </c>
      <c r="I117" s="27">
        <f t="shared" si="13"/>
        <v>0</v>
      </c>
      <c r="J117" s="75">
        <f>RDG!K14</f>
        <v>2404239</v>
      </c>
      <c r="K117" s="76">
        <f>RDG!L14</f>
        <v>2441950</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2743403.13</v>
      </c>
      <c r="I118" s="27">
        <f t="shared" si="13"/>
        <v>0</v>
      </c>
      <c r="J118" s="75">
        <f>RDG!K15</f>
        <v>806997</v>
      </c>
      <c r="K118" s="76">
        <f>RDG!L15</f>
        <v>768896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5882586.5</v>
      </c>
      <c r="I120" s="27">
        <f t="shared" si="13"/>
        <v>0</v>
      </c>
      <c r="J120" s="75">
        <f>RDG!K17</f>
        <v>1597242</v>
      </c>
      <c r="K120" s="76">
        <f>RDG!L17</f>
        <v>1673054</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5686708.8</v>
      </c>
      <c r="I121" s="27">
        <f t="shared" si="13"/>
        <v>0</v>
      </c>
      <c r="J121" s="75">
        <f>RDG!K18</f>
        <v>1462964</v>
      </c>
      <c r="K121" s="76">
        <f>RDG!L18</f>
        <v>1637980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3693194.67</v>
      </c>
      <c r="I122" s="27">
        <f t="shared" si="13"/>
        <v>0</v>
      </c>
      <c r="J122" s="75">
        <f>RDG!K19</f>
        <v>931777</v>
      </c>
      <c r="K122" s="76">
        <f>RDG!L19</f>
        <v>1060225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1214503.9</v>
      </c>
      <c r="I123" s="27">
        <f t="shared" si="13"/>
        <v>0</v>
      </c>
      <c r="J123" s="75">
        <f>RDG!K20</f>
        <v>320757</v>
      </c>
      <c r="K123" s="76">
        <f>RDG!L20</f>
        <v>337369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850178.4600000001</v>
      </c>
      <c r="I124" s="27">
        <f t="shared" si="13"/>
        <v>0</v>
      </c>
      <c r="J124" s="75">
        <f>RDG!K21</f>
        <v>210430</v>
      </c>
      <c r="K124" s="76">
        <f>RDG!L21</f>
        <v>240386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6349258.800000001</v>
      </c>
      <c r="I125" s="27">
        <f t="shared" si="13"/>
        <v>0</v>
      </c>
      <c r="J125" s="75">
        <f>RDG!K22</f>
        <v>1645352</v>
      </c>
      <c r="K125" s="76">
        <f>RDG!L22</f>
        <v>1737509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1908965</v>
      </c>
      <c r="I126" s="27">
        <f t="shared" si="13"/>
        <v>0</v>
      </c>
      <c r="J126" s="75">
        <f>RDG!K23</f>
        <v>664052</v>
      </c>
      <c r="K126" s="76">
        <f>RDG!L23</f>
        <v>431560</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1742099.94</v>
      </c>
      <c r="I127" s="27">
        <f t="shared" si="13"/>
        <v>0</v>
      </c>
      <c r="J127" s="75">
        <f>RDG!K24</f>
        <v>118531</v>
      </c>
      <c r="K127" s="76">
        <f>RDG!L24</f>
        <v>632044</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1769752.3199999998</v>
      </c>
      <c r="I129" s="27">
        <f t="shared" si="13"/>
        <v>0</v>
      </c>
      <c r="J129" s="75">
        <f>RDG!K26</f>
        <v>118531</v>
      </c>
      <c r="K129" s="76">
        <f>RDG!L26</f>
        <v>632044</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121945.2</v>
      </c>
      <c r="I131" s="27">
        <f t="shared" si="13"/>
        <v>0</v>
      </c>
      <c r="J131" s="75">
        <f>RDG!K28</f>
        <v>40528</v>
      </c>
      <c r="K131" s="76">
        <f>RDG!L28</f>
        <v>26638</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185171.12000000002</v>
      </c>
      <c r="I132" s="27">
        <f t="shared" si="13"/>
        <v>0</v>
      </c>
      <c r="J132" s="75">
        <f>RDG!K29</f>
        <v>57794</v>
      </c>
      <c r="K132" s="76">
        <f>RDG!L29</f>
        <v>41779</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187998.16</v>
      </c>
      <c r="I134" s="27">
        <f t="shared" si="13"/>
        <v>0</v>
      </c>
      <c r="J134" s="75">
        <f>RDG!K31</f>
        <v>57794</v>
      </c>
      <c r="K134" s="76">
        <f>RDG!L31</f>
        <v>41779</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2818.09</v>
      </c>
      <c r="I138" s="27">
        <f t="shared" si="13"/>
        <v>0</v>
      </c>
      <c r="J138" s="75">
        <f>RDG!K35</f>
        <v>3</v>
      </c>
      <c r="K138" s="76">
        <f>RDG!L35</f>
        <v>1027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2859.23</v>
      </c>
      <c r="I140" s="27">
        <f t="shared" si="13"/>
        <v>0</v>
      </c>
      <c r="J140" s="75">
        <f>RDG!K37</f>
        <v>3</v>
      </c>
      <c r="K140" s="76">
        <f>RDG!L37</f>
        <v>1027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29044964.060000002</v>
      </c>
      <c r="I147" s="27">
        <f t="shared" si="13"/>
        <v>0</v>
      </c>
      <c r="J147" s="75">
        <f>RDG!K44</f>
        <v>5991323</v>
      </c>
      <c r="K147" s="76">
        <f>RDG!L44</f>
        <v>6951244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29625034.95</v>
      </c>
      <c r="I148" s="27">
        <f t="shared" si="13"/>
        <v>0</v>
      </c>
      <c r="J148" s="75">
        <f>RDG!K45</f>
        <v>6335669</v>
      </c>
      <c r="K148" s="76">
        <f>RDG!L45</f>
        <v>6908708</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-383725.52</v>
      </c>
      <c r="I149" s="27">
        <f t="shared" si="13"/>
        <v>0</v>
      </c>
      <c r="J149" s="75">
        <f>RDG!K46</f>
        <v>-344346</v>
      </c>
      <c r="K149" s="76">
        <f>RDG!L46</f>
        <v>42536</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126757.28</v>
      </c>
      <c r="I150" s="27">
        <f t="shared" si="13"/>
        <v>0</v>
      </c>
      <c r="J150" s="75">
        <f>RDG!K47</f>
        <v>0</v>
      </c>
      <c r="K150" s="76">
        <f>RDG!L47</f>
        <v>42536</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516519</v>
      </c>
      <c r="I151" s="27">
        <f t="shared" si="13"/>
        <v>0</v>
      </c>
      <c r="J151" s="75">
        <f>RDG!K48</f>
        <v>344346</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-394096.48</v>
      </c>
      <c r="I153" s="27">
        <f t="shared" si="13"/>
        <v>0</v>
      </c>
      <c r="J153" s="75">
        <f>RDG!K50</f>
        <v>-344346</v>
      </c>
      <c r="K153" s="76">
        <f>RDG!L50</f>
        <v>42536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130160.16</v>
      </c>
      <c r="I154" s="27">
        <f t="shared" si="13"/>
        <v>0</v>
      </c>
      <c r="J154" s="75">
        <f>RDG!K51</f>
        <v>0</v>
      </c>
      <c r="K154" s="76">
        <f>RDG!L51</f>
        <v>42536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530292.84</v>
      </c>
      <c r="I155" s="27">
        <f t="shared" si="13"/>
        <v>0</v>
      </c>
      <c r="J155" s="75">
        <f>RDG!K52</f>
        <v>344346</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04151712; IVKOM-VODE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90"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IVKOM-VODE@IVKOM-VODE.HR</v>
      </c>
      <c r="N59" s="201" t="str">
        <f>UPPER(TRIM(Opci!C69))</f>
        <v>BRANKICA@IVKOM.HR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\\SERVER\Company\IVKOM D.D. IVANEC\2015. - IVKOM D.D\RACUNOVODSTVO\BRANKICA\ZAVRŠNI\Javna objava\Ivkom-Vode\[GFI-POD - Ivkom-Vode 2015..xls]Bilanca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19.35483870967742</v>
      </c>
      <c r="P92">
        <f>IF(Opci!E53+Opci!E55&gt;20,ABS(Opci!E53-Opci!E55)/(Opci!E53+Opci!E55)*200,0)</f>
        <v>25</v>
      </c>
      <c r="Q92">
        <f>IF(Opci!C53+Opci!E53&gt;20,ABS(Opci!C53-Opci!E53)/(Opci!C53+Opci!E53)*200,0)</f>
        <v>5.714285714285714</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IVKOM-VODE D.O.O.</v>
      </c>
      <c r="B21" s="250"/>
      <c r="C21" s="250"/>
      <c r="D21" s="250"/>
      <c r="E21" s="250"/>
      <c r="F21" s="250"/>
      <c r="G21" s="250"/>
      <c r="H21" s="251"/>
      <c r="I21" s="252"/>
      <c r="J21" s="253"/>
    </row>
    <row r="22" spans="1:10" ht="13.5" customHeight="1">
      <c r="A22" s="255" t="str">
        <f>IF(Opci!C29&lt;&gt;"",MID(Opci!C29,1,30),"")</f>
        <v>V.NAZORA 96B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9 1 9 2 0 8 6 9 2 1 5</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415171.2</v>
      </c>
      <c r="T2" s="192">
        <f>INT(VALUE(C21))/50</f>
        <v>1402363.18</v>
      </c>
      <c r="U2" s="192">
        <f>INT(VALUE(C23))/100</f>
        <v>919208692.15</v>
      </c>
      <c r="V2" s="192">
        <f>LEN(Skriveni!B9)</f>
        <v>17</v>
      </c>
      <c r="W2" s="192">
        <f>INT(VALUE(C27))/100</f>
        <v>422.4</v>
      </c>
      <c r="X2" s="192">
        <f>LEN(Skriveni!B11)</f>
        <v>6</v>
      </c>
      <c r="Y2" s="192">
        <f>LEN(Skriveni!B12)</f>
        <v>12</v>
      </c>
      <c r="Z2" s="192">
        <f>INT(VALUE(C35))</f>
        <v>156</v>
      </c>
      <c r="AA2" s="192">
        <f>INT(VALUE(C39))</f>
        <v>3600</v>
      </c>
      <c r="AB2" s="192">
        <f>IF(C41="DA",1,0)</f>
        <v>0</v>
      </c>
      <c r="AC2" s="192">
        <f>IF(C43="DA",1,0)</f>
        <v>1</v>
      </c>
      <c r="AD2" s="192">
        <f>INT(VALUE(C45))</f>
        <v>2</v>
      </c>
      <c r="AE2" s="192">
        <f>INT(VALUE(C47))</f>
        <v>1</v>
      </c>
      <c r="AF2" s="192">
        <f>INT(VALUE(C49))</f>
        <v>11</v>
      </c>
      <c r="AG2" s="192">
        <f>C51*2+E51</f>
        <v>200</v>
      </c>
      <c r="AH2" s="192">
        <f>C53+2*E53+3*C55+4*E55</f>
        <v>151</v>
      </c>
      <c r="AI2" s="192">
        <f>C57*2+E57</f>
        <v>36</v>
      </c>
      <c r="AJ2" s="192">
        <f>LEN(Skriveni!B43)</f>
        <v>13</v>
      </c>
      <c r="AK2" s="220">
        <f>INT(VALUE(E43))/100</f>
        <v>417482003.89</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2388491914.51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42240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156</v>
      </c>
      <c r="D35" s="417" t="str">
        <f>IF(C35&lt;&gt;"",LOOKUP(C35,P29:P584,Q29:Q584),"Nije upisana općina!")</f>
        <v>Ivanec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5</v>
      </c>
      <c r="D37" s="417" t="str">
        <f>IF(C37&lt;&gt;"",LOOKUP(C37,T29:T49,U29:U49),"")</f>
        <v>VARAŽDINSKA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2608</v>
      </c>
      <c r="D39" s="422" t="str">
        <f>IF(C39&lt;&gt;"",LOOKUP(C39,Djel!A5:A621,Djel!B5:B621),"Djelatnost nije upisana!")</f>
        <v>Skupljanje, pročišćavanje i opskrba vodom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2981</v>
      </c>
      <c r="D43" s="217" t="s">
        <v>2689</v>
      </c>
      <c r="E43" s="424" t="s">
        <v>2982</v>
      </c>
      <c r="F43" s="425"/>
      <c r="G43" s="46"/>
      <c r="H43" s="124" t="s">
        <v>2981</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2981</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17</v>
      </c>
      <c r="D53" s="171"/>
      <c r="E53" s="190">
        <v>18</v>
      </c>
      <c r="F53" s="171"/>
      <c r="G53" s="97"/>
      <c r="H53" s="124" t="s">
        <v>2981</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14</v>
      </c>
      <c r="D55" s="171"/>
      <c r="E55" s="191">
        <v>14</v>
      </c>
      <c r="F55" s="171"/>
      <c r="G55" s="97"/>
      <c r="H55" s="124" t="s">
        <v>2981</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t="s">
        <v>2983</v>
      </c>
      <c r="D63" s="425"/>
      <c r="E63" s="97"/>
      <c r="F63" s="395" t="s">
        <v>2984</v>
      </c>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2985</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2986</v>
      </c>
      <c r="D67" s="428"/>
      <c r="E67" s="429"/>
      <c r="F67" s="97"/>
      <c r="G67" s="167" t="s">
        <v>1484</v>
      </c>
      <c r="H67" s="427" t="s">
        <v>2987</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2988</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2989</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tabSelected="1" zoomScalePageLayoutView="0" workbookViewId="0" topLeftCell="A1">
      <pane ySplit="2" topLeftCell="A87" activePane="bottomLeft" state="frozen"/>
      <selection pane="topLeft" activeCell="A1" sqref="A1"/>
      <selection pane="bottomLeft" activeCell="L52" sqref="L5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91920869215; IVKOM-VODE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75932224</v>
      </c>
      <c r="L11" s="59">
        <f>L12+L19+L29+L38+L42</f>
        <v>77746722</v>
      </c>
    </row>
    <row r="12" spans="1:12" ht="13.5" customHeight="1">
      <c r="A12" s="483" t="s">
        <v>753</v>
      </c>
      <c r="B12" s="484"/>
      <c r="C12" s="484"/>
      <c r="D12" s="484"/>
      <c r="E12" s="484"/>
      <c r="F12" s="484"/>
      <c r="G12" s="484"/>
      <c r="H12" s="485"/>
      <c r="I12" s="4">
        <v>3</v>
      </c>
      <c r="J12" s="8"/>
      <c r="K12" s="59">
        <f>SUM(K13:K18)</f>
        <v>22072</v>
      </c>
      <c r="L12" s="59">
        <f>SUM(L13:L18)</f>
        <v>31323</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14351</v>
      </c>
      <c r="L14" s="60">
        <v>25350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v>7721</v>
      </c>
      <c r="L18" s="60">
        <v>5973</v>
      </c>
    </row>
    <row r="19" spans="1:12" ht="13.5" customHeight="1">
      <c r="A19" s="483" t="s">
        <v>754</v>
      </c>
      <c r="B19" s="484"/>
      <c r="C19" s="484"/>
      <c r="D19" s="484"/>
      <c r="E19" s="484"/>
      <c r="F19" s="484"/>
      <c r="G19" s="484"/>
      <c r="H19" s="485"/>
      <c r="I19" s="4">
        <v>10</v>
      </c>
      <c r="J19" s="8"/>
      <c r="K19" s="59">
        <f>SUM(K20:K28)</f>
        <v>75910152</v>
      </c>
      <c r="L19" s="59">
        <f>SUM(L20:L28)</f>
        <v>77715399</v>
      </c>
    </row>
    <row r="20" spans="1:12" ht="13.5" customHeight="1">
      <c r="A20" s="477" t="s">
        <v>1436</v>
      </c>
      <c r="B20" s="478"/>
      <c r="C20" s="478"/>
      <c r="D20" s="478"/>
      <c r="E20" s="478"/>
      <c r="F20" s="478"/>
      <c r="G20" s="478"/>
      <c r="H20" s="479"/>
      <c r="I20" s="4">
        <v>11</v>
      </c>
      <c r="J20" s="8"/>
      <c r="K20" s="60">
        <v>59627</v>
      </c>
      <c r="L20" s="60">
        <v>66197</v>
      </c>
    </row>
    <row r="21" spans="1:12" ht="13.5" customHeight="1">
      <c r="A21" s="477" t="s">
        <v>186</v>
      </c>
      <c r="B21" s="478"/>
      <c r="C21" s="478"/>
      <c r="D21" s="478"/>
      <c r="E21" s="478"/>
      <c r="F21" s="478"/>
      <c r="G21" s="478"/>
      <c r="H21" s="479"/>
      <c r="I21" s="4">
        <v>12</v>
      </c>
      <c r="J21" s="8"/>
      <c r="K21" s="60">
        <v>67661858</v>
      </c>
      <c r="L21" s="60">
        <v>71529045</v>
      </c>
    </row>
    <row r="22" spans="1:12" ht="13.5" customHeight="1">
      <c r="A22" s="477" t="s">
        <v>1437</v>
      </c>
      <c r="B22" s="478"/>
      <c r="C22" s="478"/>
      <c r="D22" s="478"/>
      <c r="E22" s="478"/>
      <c r="F22" s="478"/>
      <c r="G22" s="478"/>
      <c r="H22" s="479"/>
      <c r="I22" s="4">
        <v>13</v>
      </c>
      <c r="J22" s="8"/>
      <c r="K22" s="60">
        <v>4724</v>
      </c>
      <c r="L22" s="60">
        <v>21652</v>
      </c>
    </row>
    <row r="23" spans="1:12" ht="13.5" customHeight="1">
      <c r="A23" s="477" t="s">
        <v>1273</v>
      </c>
      <c r="B23" s="478"/>
      <c r="C23" s="478"/>
      <c r="D23" s="478"/>
      <c r="E23" s="478"/>
      <c r="F23" s="478"/>
      <c r="G23" s="478"/>
      <c r="H23" s="479"/>
      <c r="I23" s="4">
        <v>14</v>
      </c>
      <c r="J23" s="8"/>
      <c r="K23" s="60">
        <v>132736</v>
      </c>
      <c r="L23" s="60">
        <v>290681</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8051207</v>
      </c>
      <c r="L26" s="60">
        <v>5807824</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5058560</v>
      </c>
      <c r="L43" s="59">
        <f>L44+L52+L59+L67</f>
        <v>5125366</v>
      </c>
    </row>
    <row r="44" spans="1:12" ht="13.5" customHeight="1">
      <c r="A44" s="483" t="s">
        <v>319</v>
      </c>
      <c r="B44" s="484"/>
      <c r="C44" s="484"/>
      <c r="D44" s="484"/>
      <c r="E44" s="484"/>
      <c r="F44" s="484"/>
      <c r="G44" s="484"/>
      <c r="H44" s="485"/>
      <c r="I44" s="4">
        <v>35</v>
      </c>
      <c r="J44" s="8"/>
      <c r="K44" s="59">
        <f>SUM(K45:K51)</f>
        <v>566840</v>
      </c>
      <c r="L44" s="59">
        <f>SUM(L45:L51)</f>
        <v>293026</v>
      </c>
    </row>
    <row r="45" spans="1:12" ht="13.5" customHeight="1">
      <c r="A45" s="477" t="s">
        <v>1485</v>
      </c>
      <c r="B45" s="478"/>
      <c r="C45" s="478"/>
      <c r="D45" s="478"/>
      <c r="E45" s="478"/>
      <c r="F45" s="478"/>
      <c r="G45" s="478"/>
      <c r="H45" s="479"/>
      <c r="I45" s="4">
        <v>36</v>
      </c>
      <c r="J45" s="8"/>
      <c r="K45" s="60">
        <v>566840</v>
      </c>
      <c r="L45" s="60">
        <v>293026</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3220206</v>
      </c>
      <c r="L52" s="59">
        <f>SUM(L53:L58)</f>
        <v>4483935</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1870181</v>
      </c>
      <c r="L54" s="60">
        <v>2045386</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112801</v>
      </c>
      <c r="L57" s="60">
        <v>194311</v>
      </c>
    </row>
    <row r="58" spans="1:12" ht="13.5" customHeight="1">
      <c r="A58" s="477" t="s">
        <v>664</v>
      </c>
      <c r="B58" s="478"/>
      <c r="C58" s="478"/>
      <c r="D58" s="478"/>
      <c r="E58" s="478"/>
      <c r="F58" s="478"/>
      <c r="G58" s="478"/>
      <c r="H58" s="479"/>
      <c r="I58" s="4">
        <v>49</v>
      </c>
      <c r="J58" s="8"/>
      <c r="K58" s="60">
        <v>1237224</v>
      </c>
      <c r="L58" s="60">
        <v>2244238</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1271514</v>
      </c>
      <c r="L67" s="60">
        <v>348405</v>
      </c>
    </row>
    <row r="68" spans="1:12" ht="13.5" customHeight="1">
      <c r="A68" s="499" t="s">
        <v>2848</v>
      </c>
      <c r="B68" s="500"/>
      <c r="C68" s="500"/>
      <c r="D68" s="500"/>
      <c r="E68" s="500"/>
      <c r="F68" s="500"/>
      <c r="G68" s="500"/>
      <c r="H68" s="501"/>
      <c r="I68" s="4">
        <v>59</v>
      </c>
      <c r="J68" s="8"/>
      <c r="K68" s="60">
        <v>8145</v>
      </c>
      <c r="L68" s="60">
        <v>8000</v>
      </c>
    </row>
    <row r="69" spans="1:12" ht="13.5" customHeight="1">
      <c r="A69" s="499" t="s">
        <v>2298</v>
      </c>
      <c r="B69" s="500"/>
      <c r="C69" s="500"/>
      <c r="D69" s="500"/>
      <c r="E69" s="500"/>
      <c r="F69" s="500"/>
      <c r="G69" s="500"/>
      <c r="H69" s="501"/>
      <c r="I69" s="4">
        <v>60</v>
      </c>
      <c r="J69" s="8"/>
      <c r="K69" s="59">
        <f>K10+K11+K43+K68</f>
        <v>80998929</v>
      </c>
      <c r="L69" s="59">
        <f>L10+L11+L43+L68</f>
        <v>82880088</v>
      </c>
    </row>
    <row r="70" spans="1:12" ht="13.5" customHeight="1">
      <c r="A70" s="519" t="s">
        <v>309</v>
      </c>
      <c r="B70" s="520"/>
      <c r="C70" s="520"/>
      <c r="D70" s="520"/>
      <c r="E70" s="520"/>
      <c r="F70" s="520"/>
      <c r="G70" s="520"/>
      <c r="H70" s="521"/>
      <c r="I70" s="5">
        <v>61</v>
      </c>
      <c r="J70" s="9"/>
      <c r="K70" s="61">
        <v>19632600</v>
      </c>
      <c r="L70" s="61">
        <v>19632600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26425234</v>
      </c>
      <c r="L72" s="79">
        <f>L73+L74+L75+L81+L82+L85+L88</f>
        <v>26467770</v>
      </c>
    </row>
    <row r="73" spans="1:12" ht="13.5" customHeight="1">
      <c r="A73" s="483" t="s">
        <v>2741</v>
      </c>
      <c r="B73" s="484"/>
      <c r="C73" s="484"/>
      <c r="D73" s="484"/>
      <c r="E73" s="484"/>
      <c r="F73" s="484"/>
      <c r="G73" s="484"/>
      <c r="H73" s="485"/>
      <c r="I73" s="4">
        <v>63</v>
      </c>
      <c r="J73" s="8"/>
      <c r="K73" s="60">
        <v>19632600</v>
      </c>
      <c r="L73" s="60">
        <v>19632600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7136980</v>
      </c>
      <c r="L75" s="59">
        <f>L76+L77-L78+L79+L80</f>
        <v>6792634</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7136980</v>
      </c>
      <c r="L80" s="60">
        <v>6792634</v>
      </c>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0</v>
      </c>
      <c r="L82" s="59">
        <f>L83-L84</f>
        <v>0</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-344346</v>
      </c>
      <c r="L85" s="59">
        <f>L86-L87</f>
        <v>42536</v>
      </c>
    </row>
    <row r="86" spans="1:12" ht="13.5" customHeight="1">
      <c r="A86" s="486" t="s">
        <v>2826</v>
      </c>
      <c r="B86" s="487"/>
      <c r="C86" s="487"/>
      <c r="D86" s="487"/>
      <c r="E86" s="487"/>
      <c r="F86" s="487"/>
      <c r="G86" s="487"/>
      <c r="H86" s="488"/>
      <c r="I86" s="4">
        <v>76</v>
      </c>
      <c r="J86" s="8"/>
      <c r="K86" s="60"/>
      <c r="L86" s="60">
        <v>42536</v>
      </c>
    </row>
    <row r="87" spans="1:12" ht="13.5" customHeight="1">
      <c r="A87" s="486" t="s">
        <v>2827</v>
      </c>
      <c r="B87" s="487"/>
      <c r="C87" s="487"/>
      <c r="D87" s="487"/>
      <c r="E87" s="487"/>
      <c r="F87" s="487"/>
      <c r="G87" s="487"/>
      <c r="H87" s="488"/>
      <c r="I87" s="4">
        <v>77</v>
      </c>
      <c r="J87" s="8"/>
      <c r="K87" s="60">
        <v>344346</v>
      </c>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2439920</v>
      </c>
      <c r="L103" s="59">
        <f>SUM(L104:L115)</f>
        <v>1528263</v>
      </c>
    </row>
    <row r="104" spans="1:12" ht="13.5" customHeight="1">
      <c r="A104" s="477" t="s">
        <v>2702</v>
      </c>
      <c r="B104" s="478"/>
      <c r="C104" s="478"/>
      <c r="D104" s="478"/>
      <c r="E104" s="478"/>
      <c r="F104" s="478"/>
      <c r="G104" s="478"/>
      <c r="H104" s="479"/>
      <c r="I104" s="4">
        <v>94</v>
      </c>
      <c r="J104" s="8"/>
      <c r="K104" s="60">
        <v>972667</v>
      </c>
      <c r="L104" s="60">
        <v>425318</v>
      </c>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v>5800</v>
      </c>
      <c r="L107" s="60">
        <v>5800</v>
      </c>
    </row>
    <row r="108" spans="1:12" ht="13.5" customHeight="1">
      <c r="A108" s="477" t="s">
        <v>180</v>
      </c>
      <c r="B108" s="478"/>
      <c r="C108" s="478"/>
      <c r="D108" s="478"/>
      <c r="E108" s="478"/>
      <c r="F108" s="478"/>
      <c r="G108" s="478"/>
      <c r="H108" s="479"/>
      <c r="I108" s="4">
        <v>98</v>
      </c>
      <c r="J108" s="8"/>
      <c r="K108" s="60">
        <v>558979</v>
      </c>
      <c r="L108" s="60">
        <v>214521</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104729</v>
      </c>
      <c r="L111" s="60">
        <v>118639</v>
      </c>
    </row>
    <row r="112" spans="1:12" ht="13.5" customHeight="1">
      <c r="A112" s="477" t="s">
        <v>314</v>
      </c>
      <c r="B112" s="478"/>
      <c r="C112" s="478"/>
      <c r="D112" s="478"/>
      <c r="E112" s="478"/>
      <c r="F112" s="478"/>
      <c r="G112" s="478"/>
      <c r="H112" s="479"/>
      <c r="I112" s="4">
        <v>102</v>
      </c>
      <c r="J112" s="8"/>
      <c r="K112" s="60">
        <v>46356</v>
      </c>
      <c r="L112" s="60">
        <v>55481</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751389</v>
      </c>
      <c r="L115" s="60">
        <v>708504</v>
      </c>
    </row>
    <row r="116" spans="1:12" ht="13.5" customHeight="1">
      <c r="A116" s="499" t="s">
        <v>1525</v>
      </c>
      <c r="B116" s="500"/>
      <c r="C116" s="500"/>
      <c r="D116" s="500"/>
      <c r="E116" s="500"/>
      <c r="F116" s="500"/>
      <c r="G116" s="500"/>
      <c r="H116" s="501"/>
      <c r="I116" s="4">
        <v>106</v>
      </c>
      <c r="J116" s="8"/>
      <c r="K116" s="60">
        <v>52133775</v>
      </c>
      <c r="L116" s="60">
        <v>54884055</v>
      </c>
    </row>
    <row r="117" spans="1:12" ht="13.5" customHeight="1">
      <c r="A117" s="499" t="s">
        <v>1271</v>
      </c>
      <c r="B117" s="500"/>
      <c r="C117" s="500"/>
      <c r="D117" s="500"/>
      <c r="E117" s="500"/>
      <c r="F117" s="500"/>
      <c r="G117" s="500"/>
      <c r="H117" s="501"/>
      <c r="I117" s="4">
        <v>107</v>
      </c>
      <c r="J117" s="8"/>
      <c r="K117" s="59">
        <f>K72+K89+K93+K103+K116</f>
        <v>80998929</v>
      </c>
      <c r="L117" s="59">
        <f>L72+L89+L93+L103+L116</f>
        <v>82880088</v>
      </c>
    </row>
    <row r="118" spans="1:12" ht="13.5" customHeight="1">
      <c r="A118" s="502" t="s">
        <v>2849</v>
      </c>
      <c r="B118" s="503"/>
      <c r="C118" s="503"/>
      <c r="D118" s="503"/>
      <c r="E118" s="503"/>
      <c r="F118" s="503"/>
      <c r="G118" s="503"/>
      <c r="H118" s="504"/>
      <c r="I118" s="5">
        <v>108</v>
      </c>
      <c r="J118" s="8"/>
      <c r="K118" s="61">
        <v>19632600</v>
      </c>
      <c r="L118" s="61">
        <v>19632600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27" activePane="bottomLeft" state="frozen"/>
      <selection pane="topLeft" activeCell="A1" sqref="A1"/>
      <selection pane="bottomLeft" activeCell="D1" sqref="D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91920869215; IVKOM-VODE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5933529</v>
      </c>
      <c r="L9" s="79">
        <f>SUM(L10:L11)</f>
        <v>6909465</v>
      </c>
    </row>
    <row r="10" spans="1:12" s="3" customFormat="1" ht="13.5" customHeight="1">
      <c r="A10" s="499" t="s">
        <v>1722</v>
      </c>
      <c r="B10" s="500"/>
      <c r="C10" s="500"/>
      <c r="D10" s="500"/>
      <c r="E10" s="500"/>
      <c r="F10" s="500"/>
      <c r="G10" s="500"/>
      <c r="H10" s="501"/>
      <c r="I10" s="4">
        <v>112</v>
      </c>
      <c r="J10" s="8"/>
      <c r="K10" s="60">
        <v>4722331</v>
      </c>
      <c r="L10" s="60">
        <v>5681093</v>
      </c>
    </row>
    <row r="11" spans="1:12" s="3" customFormat="1" ht="13.5" customHeight="1">
      <c r="A11" s="499" t="s">
        <v>322</v>
      </c>
      <c r="B11" s="500"/>
      <c r="C11" s="500"/>
      <c r="D11" s="500"/>
      <c r="E11" s="500"/>
      <c r="F11" s="500"/>
      <c r="G11" s="500"/>
      <c r="H11" s="501"/>
      <c r="I11" s="4">
        <v>113</v>
      </c>
      <c r="J11" s="8"/>
      <c r="K11" s="60">
        <v>1211198</v>
      </c>
      <c r="L11" s="60">
        <v>1228372</v>
      </c>
    </row>
    <row r="12" spans="1:12" s="3" customFormat="1" ht="13.5" customHeight="1">
      <c r="A12" s="499" t="s">
        <v>669</v>
      </c>
      <c r="B12" s="500"/>
      <c r="C12" s="500"/>
      <c r="D12" s="500"/>
      <c r="E12" s="500"/>
      <c r="F12" s="500"/>
      <c r="G12" s="500"/>
      <c r="H12" s="501"/>
      <c r="I12" s="4">
        <v>114</v>
      </c>
      <c r="J12" s="8"/>
      <c r="K12" s="59">
        <f>K13+K14+K18+K22+K23+K24+K27+K28</f>
        <v>6335666</v>
      </c>
      <c r="L12" s="59">
        <f>L13+L14+L18+L22+L23+L24+L27+L28</f>
        <v>6907681</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2404239</v>
      </c>
      <c r="L14" s="59">
        <f>SUM(L15:L17)</f>
        <v>2441950</v>
      </c>
    </row>
    <row r="15" spans="1:12" s="3" customFormat="1" ht="13.5" customHeight="1">
      <c r="A15" s="477" t="s">
        <v>2463</v>
      </c>
      <c r="B15" s="478"/>
      <c r="C15" s="478"/>
      <c r="D15" s="478"/>
      <c r="E15" s="478"/>
      <c r="F15" s="478"/>
      <c r="G15" s="478"/>
      <c r="H15" s="479"/>
      <c r="I15" s="4">
        <v>117</v>
      </c>
      <c r="J15" s="8"/>
      <c r="K15" s="60">
        <v>806997</v>
      </c>
      <c r="L15" s="60">
        <v>768896</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1597242</v>
      </c>
      <c r="L17" s="60">
        <v>1673054</v>
      </c>
    </row>
    <row r="18" spans="1:12" s="3" customFormat="1" ht="13.5" customHeight="1">
      <c r="A18" s="499" t="s">
        <v>1269</v>
      </c>
      <c r="B18" s="500"/>
      <c r="C18" s="500"/>
      <c r="D18" s="500"/>
      <c r="E18" s="500"/>
      <c r="F18" s="500"/>
      <c r="G18" s="500"/>
      <c r="H18" s="501"/>
      <c r="I18" s="4">
        <v>120</v>
      </c>
      <c r="J18" s="8"/>
      <c r="K18" s="59">
        <f>SUM(K19:K21)</f>
        <v>1462964</v>
      </c>
      <c r="L18" s="59">
        <f>SUM(L19:L21)</f>
        <v>1637980</v>
      </c>
    </row>
    <row r="19" spans="1:12" s="3" customFormat="1" ht="13.5" customHeight="1">
      <c r="A19" s="477" t="s">
        <v>2664</v>
      </c>
      <c r="B19" s="478"/>
      <c r="C19" s="478"/>
      <c r="D19" s="478"/>
      <c r="E19" s="478"/>
      <c r="F19" s="478"/>
      <c r="G19" s="478"/>
      <c r="H19" s="479"/>
      <c r="I19" s="4">
        <v>121</v>
      </c>
      <c r="J19" s="8"/>
      <c r="K19" s="60">
        <v>931777</v>
      </c>
      <c r="L19" s="60">
        <v>1060225</v>
      </c>
    </row>
    <row r="20" spans="1:12" s="3" customFormat="1" ht="13.5" customHeight="1">
      <c r="A20" s="477" t="s">
        <v>2665</v>
      </c>
      <c r="B20" s="478"/>
      <c r="C20" s="478"/>
      <c r="D20" s="478"/>
      <c r="E20" s="478"/>
      <c r="F20" s="478"/>
      <c r="G20" s="478"/>
      <c r="H20" s="479"/>
      <c r="I20" s="4">
        <v>122</v>
      </c>
      <c r="J20" s="8"/>
      <c r="K20" s="60">
        <v>320757</v>
      </c>
      <c r="L20" s="60">
        <v>337369</v>
      </c>
    </row>
    <row r="21" spans="1:12" s="3" customFormat="1" ht="13.5" customHeight="1">
      <c r="A21" s="477" t="s">
        <v>2666</v>
      </c>
      <c r="B21" s="478"/>
      <c r="C21" s="478"/>
      <c r="D21" s="478"/>
      <c r="E21" s="478"/>
      <c r="F21" s="478"/>
      <c r="G21" s="478"/>
      <c r="H21" s="479"/>
      <c r="I21" s="4">
        <v>123</v>
      </c>
      <c r="J21" s="8"/>
      <c r="K21" s="60">
        <v>210430</v>
      </c>
      <c r="L21" s="60">
        <v>240386</v>
      </c>
    </row>
    <row r="22" spans="1:12" s="3" customFormat="1" ht="13.5" customHeight="1">
      <c r="A22" s="499" t="s">
        <v>324</v>
      </c>
      <c r="B22" s="500"/>
      <c r="C22" s="500"/>
      <c r="D22" s="500"/>
      <c r="E22" s="500"/>
      <c r="F22" s="500"/>
      <c r="G22" s="500"/>
      <c r="H22" s="501"/>
      <c r="I22" s="4">
        <v>124</v>
      </c>
      <c r="J22" s="8"/>
      <c r="K22" s="60">
        <v>1645352</v>
      </c>
      <c r="L22" s="60">
        <v>1737509</v>
      </c>
    </row>
    <row r="23" spans="1:12" s="3" customFormat="1" ht="13.5" customHeight="1">
      <c r="A23" s="499" t="s">
        <v>325</v>
      </c>
      <c r="B23" s="500"/>
      <c r="C23" s="500"/>
      <c r="D23" s="500"/>
      <c r="E23" s="500"/>
      <c r="F23" s="500"/>
      <c r="G23" s="500"/>
      <c r="H23" s="501"/>
      <c r="I23" s="4">
        <v>125</v>
      </c>
      <c r="J23" s="8"/>
      <c r="K23" s="60">
        <v>664052</v>
      </c>
      <c r="L23" s="60">
        <v>431560</v>
      </c>
    </row>
    <row r="24" spans="1:12" s="3" customFormat="1" ht="13.5" customHeight="1">
      <c r="A24" s="499" t="s">
        <v>1270</v>
      </c>
      <c r="B24" s="500"/>
      <c r="C24" s="500"/>
      <c r="D24" s="500"/>
      <c r="E24" s="500"/>
      <c r="F24" s="500"/>
      <c r="G24" s="500"/>
      <c r="H24" s="501"/>
      <c r="I24" s="4">
        <v>126</v>
      </c>
      <c r="J24" s="8"/>
      <c r="K24" s="59">
        <f>SUM(K25:K26)</f>
        <v>118531</v>
      </c>
      <c r="L24" s="59">
        <f>SUM(L25:L26)</f>
        <v>632044</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118531</v>
      </c>
      <c r="L26" s="60">
        <v>632044</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40528</v>
      </c>
      <c r="L28" s="60">
        <v>26638</v>
      </c>
    </row>
    <row r="29" spans="1:12" s="3" customFormat="1" ht="13.5" customHeight="1">
      <c r="A29" s="499" t="s">
        <v>53</v>
      </c>
      <c r="B29" s="500"/>
      <c r="C29" s="500"/>
      <c r="D29" s="500"/>
      <c r="E29" s="500"/>
      <c r="F29" s="500"/>
      <c r="G29" s="500"/>
      <c r="H29" s="501"/>
      <c r="I29" s="4">
        <v>131</v>
      </c>
      <c r="J29" s="8"/>
      <c r="K29" s="59">
        <f>SUM(K30:K34)</f>
        <v>57794</v>
      </c>
      <c r="L29" s="59">
        <f>SUM(L30:L34)</f>
        <v>41779</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57794</v>
      </c>
      <c r="L31" s="60">
        <v>41779</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3</v>
      </c>
      <c r="L35" s="59">
        <f>SUM(L36:L39)</f>
        <v>1027</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3</v>
      </c>
      <c r="L37" s="60">
        <v>1027</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5991323</v>
      </c>
      <c r="L44" s="59">
        <f>L9+L29+L40+L42</f>
        <v>6951244</v>
      </c>
    </row>
    <row r="45" spans="1:12" s="3" customFormat="1" ht="13.5" customHeight="1">
      <c r="A45" s="499" t="s">
        <v>56</v>
      </c>
      <c r="B45" s="500"/>
      <c r="C45" s="500"/>
      <c r="D45" s="500"/>
      <c r="E45" s="500"/>
      <c r="F45" s="500"/>
      <c r="G45" s="500"/>
      <c r="H45" s="501"/>
      <c r="I45" s="4">
        <v>147</v>
      </c>
      <c r="J45" s="8"/>
      <c r="K45" s="59">
        <f>K12+K35+K41+K43</f>
        <v>6335669</v>
      </c>
      <c r="L45" s="59">
        <f>L12+L35+L41+L43</f>
        <v>6908708</v>
      </c>
    </row>
    <row r="46" spans="1:12" s="3" customFormat="1" ht="13.5" customHeight="1">
      <c r="A46" s="499" t="s">
        <v>1825</v>
      </c>
      <c r="B46" s="500"/>
      <c r="C46" s="500"/>
      <c r="D46" s="500"/>
      <c r="E46" s="500"/>
      <c r="F46" s="500"/>
      <c r="G46" s="500"/>
      <c r="H46" s="501"/>
      <c r="I46" s="4">
        <v>148</v>
      </c>
      <c r="J46" s="8"/>
      <c r="K46" s="59">
        <f>K44-K45</f>
        <v>-344346</v>
      </c>
      <c r="L46" s="59">
        <f>L44-L45</f>
        <v>42536</v>
      </c>
    </row>
    <row r="47" spans="1:12" s="3" customFormat="1" ht="13.5" customHeight="1">
      <c r="A47" s="486" t="s">
        <v>58</v>
      </c>
      <c r="B47" s="487"/>
      <c r="C47" s="487"/>
      <c r="D47" s="487"/>
      <c r="E47" s="487"/>
      <c r="F47" s="487"/>
      <c r="G47" s="487"/>
      <c r="H47" s="488"/>
      <c r="I47" s="4">
        <v>149</v>
      </c>
      <c r="J47" s="8"/>
      <c r="K47" s="59">
        <f>IF(K44&gt;K45,K44-K45,0)</f>
        <v>0</v>
      </c>
      <c r="L47" s="59">
        <f>IF(L44&gt;L45,L44-L45,0)</f>
        <v>42536</v>
      </c>
    </row>
    <row r="48" spans="1:12" s="3" customFormat="1" ht="13.5" customHeight="1">
      <c r="A48" s="486" t="s">
        <v>59</v>
      </c>
      <c r="B48" s="487"/>
      <c r="C48" s="487"/>
      <c r="D48" s="487"/>
      <c r="E48" s="487"/>
      <c r="F48" s="487"/>
      <c r="G48" s="487"/>
      <c r="H48" s="488"/>
      <c r="I48" s="4">
        <v>150</v>
      </c>
      <c r="J48" s="8"/>
      <c r="K48" s="59">
        <f>IF(K45&gt;K44,K45-K44,0)</f>
        <v>344346</v>
      </c>
      <c r="L48" s="59">
        <f>IF(L45&gt;L44,L45-L44,0)</f>
        <v>0</v>
      </c>
    </row>
    <row r="49" spans="1:12" s="3" customFormat="1" ht="13.5" customHeight="1">
      <c r="A49" s="499" t="s">
        <v>57</v>
      </c>
      <c r="B49" s="500"/>
      <c r="C49" s="500"/>
      <c r="D49" s="500"/>
      <c r="E49" s="500"/>
      <c r="F49" s="500"/>
      <c r="G49" s="500"/>
      <c r="H49" s="501"/>
      <c r="I49" s="4">
        <v>151</v>
      </c>
      <c r="J49" s="8"/>
      <c r="K49" s="60"/>
      <c r="L49" s="60"/>
    </row>
    <row r="50" spans="1:12" s="3" customFormat="1" ht="13.5" customHeight="1">
      <c r="A50" s="499" t="s">
        <v>1826</v>
      </c>
      <c r="B50" s="500"/>
      <c r="C50" s="500"/>
      <c r="D50" s="500"/>
      <c r="E50" s="500"/>
      <c r="F50" s="500"/>
      <c r="G50" s="500"/>
      <c r="H50" s="501"/>
      <c r="I50" s="4">
        <v>152</v>
      </c>
      <c r="J50" s="8"/>
      <c r="K50" s="59">
        <f>K46-K49</f>
        <v>-344346</v>
      </c>
      <c r="L50" s="59">
        <f>L46-L49</f>
        <v>42536</v>
      </c>
    </row>
    <row r="51" spans="1:12" s="3" customFormat="1" ht="13.5" customHeight="1">
      <c r="A51" s="486" t="s">
        <v>1021</v>
      </c>
      <c r="B51" s="487"/>
      <c r="C51" s="487"/>
      <c r="D51" s="487"/>
      <c r="E51" s="487"/>
      <c r="F51" s="487"/>
      <c r="G51" s="487"/>
      <c r="H51" s="488"/>
      <c r="I51" s="4">
        <v>153</v>
      </c>
      <c r="J51" s="8"/>
      <c r="K51" s="59">
        <f>IF(K50&gt;0,K50,0)</f>
        <v>0</v>
      </c>
      <c r="L51" s="59">
        <f>IF(L50&gt;0,L50,0)</f>
        <v>42536</v>
      </c>
    </row>
    <row r="52" spans="1:12" s="3" customFormat="1" ht="13.5" customHeight="1">
      <c r="A52" s="549" t="s">
        <v>60</v>
      </c>
      <c r="B52" s="550"/>
      <c r="C52" s="550"/>
      <c r="D52" s="550"/>
      <c r="E52" s="550"/>
      <c r="F52" s="550"/>
      <c r="G52" s="550"/>
      <c r="H52" s="551"/>
      <c r="I52" s="5">
        <v>154</v>
      </c>
      <c r="J52" s="9"/>
      <c r="K52" s="71">
        <f>IF(K50&lt;0,-K50,0)</f>
        <v>344346</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G1" sqref="G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91920869215; IVKOM-VODE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H1" sqref="H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91920869215; IVKOM-VODE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91920869215; IVKOM-VODE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2016-08-17T10:59:49Z</cp:lastPrinted>
  <dcterms:created xsi:type="dcterms:W3CDTF">2008-10-17T11:51:54Z</dcterms:created>
  <dcterms:modified xsi:type="dcterms:W3CDTF">2017-01-11T09:55:55Z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